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2" yWindow="408" windowWidth="14112" windowHeight="11640" tabRatio="604" activeTab="0"/>
  </bookViews>
  <sheets>
    <sheet name="заг" sheetId="1" r:id="rId1"/>
    <sheet name="спец  " sheetId="2" r:id="rId2"/>
  </sheets>
  <definedNames>
    <definedName name="OLE_LINK1" localSheetId="1">'спец  '!#REF!</definedName>
    <definedName name="_xlnm.Print_Titles" localSheetId="0">'заг'!$8:$11</definedName>
    <definedName name="_xlnm.Print_Titles" localSheetId="1">'спец  '!$1:$4</definedName>
    <definedName name="_xlnm.Print_Area" localSheetId="0">'заг'!$B$1:$AE$366</definedName>
    <definedName name="_xlnm.Print_Area" localSheetId="1">'спец  '!$B$1:$AA$248</definedName>
  </definedNames>
  <calcPr fullCalcOnLoad="1"/>
</workbook>
</file>

<file path=xl/sharedStrings.xml><?xml version="1.0" encoding="utf-8"?>
<sst xmlns="http://schemas.openxmlformats.org/spreadsheetml/2006/main" count="1330" uniqueCount="766">
  <si>
    <t xml:space="preserve"> - утримання міжкільного навчально-виробничого комбінату</t>
  </si>
  <si>
    <t>0611162</t>
  </si>
  <si>
    <t>1162</t>
  </si>
  <si>
    <t>Інші програми та заходи у сфері освіти</t>
  </si>
  <si>
    <t xml:space="preserve"> - надання допомоги дітям-сиротам та дітям, позбавленим батьківського піклування, яким виповнюється 18 років</t>
  </si>
  <si>
    <t>0600000</t>
  </si>
  <si>
    <t>0800000</t>
  </si>
  <si>
    <t>0810000</t>
  </si>
  <si>
    <t>0810160</t>
  </si>
  <si>
    <t>0812010</t>
  </si>
  <si>
    <t>Багатопрофільна стаціонарна медична допомога населенню, в тому числі:</t>
  </si>
  <si>
    <t>0812110</t>
  </si>
  <si>
    <t>2110</t>
  </si>
  <si>
    <t>Первинна медична допомога населенню</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</si>
  <si>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</si>
  <si>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</si>
  <si>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</si>
  <si>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</si>
  <si>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0812141</t>
  </si>
  <si>
    <t>2141</t>
  </si>
  <si>
    <t>0812142</t>
  </si>
  <si>
    <t>2142</t>
  </si>
  <si>
    <t>0812143</t>
  </si>
  <si>
    <t>2143</t>
  </si>
  <si>
    <t>0812144</t>
  </si>
  <si>
    <t>2144</t>
  </si>
  <si>
    <t>Централізовані заходи з лікування хворих на цукровий та нецукровий діабет- всього, в тому числі:</t>
  </si>
  <si>
    <t>0812145</t>
  </si>
  <si>
    <t>2145</t>
  </si>
  <si>
    <t>0812151</t>
  </si>
  <si>
    <t>Забезпечення діяльності інших закладів у сфері охорони здоров’я</t>
  </si>
  <si>
    <t>0812152</t>
  </si>
  <si>
    <t>2152</t>
  </si>
  <si>
    <t>0813031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</si>
  <si>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</si>
  <si>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</si>
  <si>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</si>
  <si>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</si>
  <si>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0813035</t>
  </si>
  <si>
    <t>Компенсаційні виплати за пільговий проїзд окремих категорій громадян на залізничному транспорті</t>
  </si>
  <si>
    <t>0813090</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</si>
  <si>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</si>
  <si>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</si>
  <si>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</si>
  <si>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</si>
  <si>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Утримання та забезпечення діяльності центрів соціальних служб для сім’ї, дітей та молоді</t>
  </si>
  <si>
    <t xml:space="preserve"> - утримання  Центру соціальних служб для сім’ї, дітей та молоді</t>
  </si>
  <si>
    <t>0813171</t>
  </si>
  <si>
    <t>3171</t>
  </si>
  <si>
    <t>0813172</t>
  </si>
  <si>
    <t>3172</t>
  </si>
  <si>
    <t>0813180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</si>
  <si>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</si>
  <si>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0813191</t>
  </si>
  <si>
    <t>3191</t>
  </si>
  <si>
    <t>Інші видатки на соціальний захист ветеранів війни та праці</t>
  </si>
  <si>
    <t>0813242</t>
  </si>
  <si>
    <t>3242</t>
  </si>
  <si>
    <t>Інші заходи у сфері соціального захисту і соціального забезпечення</t>
  </si>
  <si>
    <t>0813210</t>
  </si>
  <si>
    <t>3210</t>
  </si>
  <si>
    <t xml:space="preserve">Організація та проведення громадських робіт </t>
  </si>
  <si>
    <t>Програми і централізовані заходи профілактики ВІЛ-інфекції/СНІДу (міська комплексна програма "Охорона здоров'я" в частині протидії захворювання на ВІЛ/СНІД)</t>
  </si>
  <si>
    <t>Членські внески до асоціацій органів місцевого самоврядування</t>
  </si>
  <si>
    <t>0217680</t>
  </si>
  <si>
    <t>7680</t>
  </si>
  <si>
    <t>0210180</t>
  </si>
  <si>
    <t>Інша діяльність у сфері державного управління</t>
  </si>
  <si>
    <t>1200000</t>
  </si>
  <si>
    <t>1210000</t>
  </si>
  <si>
    <t>Керівництво і управління у відповідній сфері у містах (місті Києві), селищах, селах, об’єднаних територіальних громадах</t>
  </si>
  <si>
    <t>1211010</t>
  </si>
  <si>
    <t xml:space="preserve"> - утримання департаменту інфраструктури міського господарства Южноукраїнської міської ради</t>
  </si>
  <si>
    <t xml:space="preserve">Надання дошкільної освіти                                                                 </t>
  </si>
  <si>
    <t>6011</t>
  </si>
  <si>
    <t>6012</t>
  </si>
  <si>
    <t>6013</t>
  </si>
  <si>
    <t>6014</t>
  </si>
  <si>
    <t>6015</t>
  </si>
  <si>
    <t>6016</t>
  </si>
  <si>
    <t>6017</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</si>
  <si>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</si>
  <si>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</si>
  <si>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</si>
  <si>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</si>
  <si>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</si>
  <si>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Впровадження засобів обліку витрат та регулювання споживання води та теплової енергії</t>
  </si>
  <si>
    <t xml:space="preserve">Інша діяльність, пов’язана з експлуатацією об’єктів житлово-комунального господарства </t>
  </si>
  <si>
    <t>1216011</t>
  </si>
  <si>
    <t>Забезпечення функціонування підприємств, установ та організацій, що виробляють, виконують та/або надають житлово-комунальні послуги</t>
  </si>
  <si>
    <t>1216020</t>
  </si>
  <si>
    <t>1216030</t>
  </si>
  <si>
    <t>Організація благоустрою населених пунктів</t>
  </si>
  <si>
    <t>090000</t>
  </si>
  <si>
    <t>091000</t>
  </si>
  <si>
    <t>0910160</t>
  </si>
  <si>
    <t xml:space="preserve"> - утримання служби у справах дітей Южноукраїнської міської ради</t>
  </si>
  <si>
    <t>1010160</t>
  </si>
  <si>
    <t xml:space="preserve"> - утримання управління молоді, спорту та культури Южноукраїнської міської ради</t>
  </si>
  <si>
    <t>2810160</t>
  </si>
  <si>
    <t xml:space="preserve"> - утримання управління екології, охорони навколишнього середовища та земельних відносин Южноукраїнської міської ради</t>
  </si>
  <si>
    <t>2900000</t>
  </si>
  <si>
    <t>2910000</t>
  </si>
  <si>
    <t>2910160</t>
  </si>
  <si>
    <t xml:space="preserve"> - утримання управління з питань надзвичайних ситуацій та взаємодії з правоохоронними органами Южноукраїнської міської ради</t>
  </si>
  <si>
    <t>3700000</t>
  </si>
  <si>
    <t>3710000</t>
  </si>
  <si>
    <t>3710160</t>
  </si>
  <si>
    <t xml:space="preserve"> - утримання фінансового управління Южноукраїнської міської ради </t>
  </si>
  <si>
    <t>7690</t>
  </si>
  <si>
    <t>Інша економічна діяльність</t>
  </si>
  <si>
    <t>1217693</t>
  </si>
  <si>
    <t>7693</t>
  </si>
  <si>
    <t>Інші заходи, пов'язані з економічною діяльністю</t>
  </si>
  <si>
    <t>1216040</t>
  </si>
  <si>
    <t>Заходи, пов’язані з поліпшенням питної води</t>
  </si>
  <si>
    <t>6040</t>
  </si>
  <si>
    <t>Інша діяльність у сфері житлово-комунального господарства</t>
  </si>
  <si>
    <t>1216090</t>
  </si>
  <si>
    <t>6090</t>
  </si>
  <si>
    <t>Реалізація інших заходів щодо соціально-економічного розвитку територій</t>
  </si>
  <si>
    <t>1217370</t>
  </si>
  <si>
    <t>7370</t>
  </si>
  <si>
    <t>7130</t>
  </si>
  <si>
    <t xml:space="preserve">Здійснення  заходів із землеустрою </t>
  </si>
  <si>
    <t>2816030</t>
  </si>
  <si>
    <t>2817370</t>
  </si>
  <si>
    <t>3712010</t>
  </si>
  <si>
    <t>Багатопрофільна стационарна медична допомога населенню, в тому числі:</t>
  </si>
  <si>
    <t>3716090</t>
  </si>
  <si>
    <t>8700</t>
  </si>
  <si>
    <t>8500</t>
  </si>
  <si>
    <t>Нерозподілені трансферти з державного бюджету, 
із них:</t>
  </si>
  <si>
    <t xml:space="preserve"> - міська комплексна програма "Турбота" на 2018 - 2022 роки</t>
  </si>
  <si>
    <t>0813033</t>
  </si>
  <si>
    <t>3033</t>
  </si>
  <si>
    <t>Компенсаційні виплати на пільговий проїзд автомобільним транспортом окремим категоріям громадян</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</si>
  <si>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</si>
  <si>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</si>
  <si>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</si>
  <si>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"Молоде покоління  м.Южноукраїнська" на 2016-2020 роки</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</si>
  <si>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</si>
  <si>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</si>
  <si>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</si>
  <si>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 міська комплексна програма "Турбота" на на 2018 - 2022 роки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</si>
  <si>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</si>
  <si>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</si>
  <si>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</si>
  <si>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1011100</t>
  </si>
  <si>
    <t>1100</t>
  </si>
  <si>
    <t xml:space="preserve"> - утримання дитячої школи містецтв</t>
  </si>
  <si>
    <t>1013133</t>
  </si>
  <si>
    <t>3133</t>
  </si>
  <si>
    <t>Інші заходи та заклади молодіжної політики</t>
  </si>
  <si>
    <t xml:space="preserve"> - міська комплексна програма "Молоде покоління міста Южноукраїнська" на 2016-2020 роки </t>
  </si>
  <si>
    <t>1014030</t>
  </si>
  <si>
    <t>4030</t>
  </si>
  <si>
    <t>Забезпечення діяльності бібліотек</t>
  </si>
  <si>
    <t>1014040</t>
  </si>
  <si>
    <t>4040</t>
  </si>
  <si>
    <t>Забезпечення діяльності музеїв i виставок</t>
  </si>
  <si>
    <t>1014060</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</si>
  <si>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</si>
  <si>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</si>
  <si>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</si>
  <si>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</si>
  <si>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</si>
  <si>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Утримання та навчально-тренувальна робота комунальних дитячо-юнацьких спортивних шкіл</t>
  </si>
  <si>
    <t>1015011</t>
  </si>
  <si>
    <t>1015012</t>
  </si>
  <si>
    <t>1015061</t>
  </si>
  <si>
    <t>1014082</t>
  </si>
  <si>
    <t>4082</t>
  </si>
  <si>
    <t>Інші заходи в галузі культури і мистецтва</t>
  </si>
  <si>
    <t>1218340</t>
  </si>
  <si>
    <t>8340</t>
  </si>
  <si>
    <t>Природоохоронні заходи за рахунок цільових фондів</t>
  </si>
  <si>
    <t>0540</t>
  </si>
  <si>
    <t xml:space="preserve">міська програма реформування і розвитку житлово-комунального господарства міста Южноукраїнська на 2016-2020 роки </t>
  </si>
  <si>
    <t>1216012</t>
  </si>
  <si>
    <t>1216013</t>
  </si>
  <si>
    <t>1216014</t>
  </si>
  <si>
    <t>1216015</t>
  </si>
  <si>
    <t>1216016</t>
  </si>
  <si>
    <t>1216017</t>
  </si>
  <si>
    <t>1211020</t>
  </si>
  <si>
    <t>1217310</t>
  </si>
  <si>
    <t>7310</t>
  </si>
  <si>
    <t>0443</t>
  </si>
  <si>
    <t xml:space="preserve">Будівництво об'єктів житлово-комунального господарства </t>
  </si>
  <si>
    <t>1217360</t>
  </si>
  <si>
    <t>7360</t>
  </si>
  <si>
    <t>1217361</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</si>
  <si>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</si>
  <si>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</si>
  <si>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</si>
  <si>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1217330</t>
  </si>
  <si>
    <t>7330</t>
  </si>
  <si>
    <t>2918230</t>
  </si>
  <si>
    <t>8230</t>
  </si>
  <si>
    <t>Інші заходи громадського порядку та безпеки</t>
  </si>
  <si>
    <t>2918110</t>
  </si>
  <si>
    <t>8110</t>
  </si>
  <si>
    <t>Заходи запобігання та ліквідації надзвичайних ситуацій та наслідків стихійного лиха</t>
  </si>
  <si>
    <t>2918120</t>
  </si>
  <si>
    <t>8120</t>
  </si>
  <si>
    <t>Заходи з організації рятування на водах                                               (утримання рятувального поста)</t>
  </si>
  <si>
    <t>2917370</t>
  </si>
  <si>
    <t>3717370</t>
  </si>
  <si>
    <t xml:space="preserve"> - міська програма  "Фонд міської ради на виконання депутатських повноважень" на 2018-2020 роки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</si>
  <si>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</si>
  <si>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1017691</t>
  </si>
  <si>
    <t>7691</t>
  </si>
  <si>
    <t>2817691</t>
  </si>
  <si>
    <t>міська програма реформування і розвитку житлово-комунального господарства міста Южноукраїнська на 2016-2020 роки ( в частині догляду за зеленими насадженнями за рахунок залишку коштів екологічного податку станом на 01.01.2018)</t>
  </si>
  <si>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(капітаьний ремонт ТРП-1)</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</si>
  <si>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</si>
  <si>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</si>
  <si>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</si>
  <si>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Керівництво і управління у відповідній сфері у містах (місті Києві), селищах, селах, об’єднаних територіальних громадах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</si>
  <si>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</si>
  <si>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</si>
  <si>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Проведення навчально - тренувальних зборів і змагань з неолімпійських видів спорту</t>
  </si>
  <si>
    <t xml:space="preserve"> - міська програма підтримки об'єднань співвласників багатоквартирних будинків на 2016-2018 роки  в новій редакції </t>
  </si>
  <si>
    <t xml:space="preserve"> - міська програма енергозбереження в сфері житлово - комунального господарства м.Южноукраїнська   на 2016-2020 роки (одержувач коштів - комунальне підприємство "Служба комунального господарства")</t>
  </si>
  <si>
    <t xml:space="preserve"> - міська програма Питна вода  міста  Южноукраїнська на 2007-2020 роки (одержувач бюджетних коштів - комунальне підприємство "Теплопостачання та водо-каналізаційне господарство") </t>
  </si>
  <si>
    <t xml:space="preserve"> - міська програма розвитку земельних відносин на 2017-2021 роки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</si>
  <si>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</si>
  <si>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t>
  </si>
  <si>
    <t xml:space="preserve"> - утримання департаменту соціальних питань та охорони здоров'я Южноукраїнської міської ради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</si>
  <si>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</si>
  <si>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</si>
  <si>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 - міська програма реформування і розвитку житлово - комунального господарства міста Южноукраїнська на 2016-2020 роки</t>
  </si>
  <si>
    <t xml:space="preserve">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</si>
  <si>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"Розвиток земельних відносин на 2017-2021 роки" </t>
  </si>
  <si>
    <t xml:space="preserve">  - міська програма розвитку земельних відносин на 2017-2021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</si>
  <si>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</si>
  <si>
    <t xml:space="preserve"> - міська програма інформаційної підтримки розвитку міста та діяльності органів місцевого самоврядування на 2017-2018 роки</t>
  </si>
  <si>
    <t xml:space="preserve"> - міська програма щодо організації мобілізаційної роботи в м.Южноукраїнську на 2018-2021 роки)</t>
  </si>
  <si>
    <t xml:space="preserve">Проведення навчально - тренувальних зборів і змагань з олімпійських видів спорту </t>
  </si>
  <si>
    <t xml:space="preserve"> - міська програма зайнятості  населення міста Южноукраїнська в частині оплачуваних громадських робіт</t>
  </si>
  <si>
    <t>100208</t>
  </si>
  <si>
    <t>100602</t>
  </si>
  <si>
    <t>091303</t>
  </si>
  <si>
    <t>160101</t>
  </si>
  <si>
    <t>Придбання обладнення і предметів довгострокового користування</t>
  </si>
  <si>
    <t>10</t>
  </si>
  <si>
    <t>тис.грн.</t>
  </si>
  <si>
    <t>Оплата праці</t>
  </si>
  <si>
    <t>Предмети, матеріали, обладнання та інвентар</t>
  </si>
  <si>
    <t>Видатки та заходи спеціального призначення</t>
  </si>
  <si>
    <t>091102</t>
  </si>
  <si>
    <t xml:space="preserve">Оплата комунальних послуг та енергоносіїв </t>
  </si>
  <si>
    <t>Трансферти органам державного управління інших рівнів</t>
  </si>
  <si>
    <t>0763</t>
  </si>
  <si>
    <t xml:space="preserve"> Інші виплати населенню</t>
  </si>
  <si>
    <t>Оплата інших енергоносіїв</t>
  </si>
  <si>
    <t>Поточні видатки</t>
  </si>
  <si>
    <t>Видатки розвитку</t>
  </si>
  <si>
    <t>Інші видатки</t>
  </si>
  <si>
    <t>010116</t>
  </si>
  <si>
    <t>0111</t>
  </si>
  <si>
    <t>1090</t>
  </si>
  <si>
    <t>0180</t>
  </si>
  <si>
    <t>0133</t>
  </si>
  <si>
    <t>0320</t>
  </si>
  <si>
    <t>1020</t>
  </si>
  <si>
    <t>150101</t>
  </si>
  <si>
    <t>0490</t>
  </si>
  <si>
    <t>130107</t>
  </si>
  <si>
    <t>0810</t>
  </si>
  <si>
    <t xml:space="preserve">  КФК перехідна</t>
  </si>
  <si>
    <t>091205</t>
  </si>
  <si>
    <t xml:space="preserve">Окремі заходи по реалізації державних (регіональних) програм, не віднесені  до заходів розвитку   </t>
  </si>
  <si>
    <t>ВСЬОГО</t>
  </si>
  <si>
    <t>1040</t>
  </si>
  <si>
    <t>070101</t>
  </si>
  <si>
    <t>070201</t>
  </si>
  <si>
    <t>070401</t>
  </si>
  <si>
    <t>070804</t>
  </si>
  <si>
    <t>070805</t>
  </si>
  <si>
    <t>070806</t>
  </si>
  <si>
    <t>110201</t>
  </si>
  <si>
    <t>110202</t>
  </si>
  <si>
    <t>110205</t>
  </si>
  <si>
    <t>0910</t>
  </si>
  <si>
    <t>0921</t>
  </si>
  <si>
    <t>0960</t>
  </si>
  <si>
    <t>0990</t>
  </si>
  <si>
    <t>110502</t>
  </si>
  <si>
    <t>0829</t>
  </si>
  <si>
    <t>1070</t>
  </si>
  <si>
    <t>0620</t>
  </si>
  <si>
    <t>250404</t>
  </si>
  <si>
    <t>090405</t>
  </si>
  <si>
    <t>0456</t>
  </si>
  <si>
    <t>1030</t>
  </si>
  <si>
    <t>090202</t>
  </si>
  <si>
    <t>061007</t>
  </si>
  <si>
    <t>0380</t>
  </si>
  <si>
    <t>091101</t>
  </si>
  <si>
    <t>Нерозподілені видатки</t>
  </si>
  <si>
    <t>100203</t>
  </si>
  <si>
    <t>090416</t>
  </si>
  <si>
    <t>090208</t>
  </si>
  <si>
    <t>180109</t>
  </si>
  <si>
    <t>090212</t>
  </si>
  <si>
    <t>Оплата електроенергії</t>
  </si>
  <si>
    <t>100101</t>
  </si>
  <si>
    <t>091300</t>
  </si>
  <si>
    <t>070303</t>
  </si>
  <si>
    <t>Реконструкція та реставрація інших об'єктів</t>
  </si>
  <si>
    <t>Капітальні трансферти органам державного управління інших рівнів</t>
  </si>
  <si>
    <t>Оплата теплопостачання</t>
  </si>
  <si>
    <t>Заробітна плата</t>
  </si>
  <si>
    <t>070807</t>
  </si>
  <si>
    <t>180404</t>
  </si>
  <si>
    <t>0160</t>
  </si>
  <si>
    <t>1010</t>
  </si>
  <si>
    <t>240900</t>
  </si>
  <si>
    <t xml:space="preserve">Нарахування на заробітну плату  </t>
  </si>
  <si>
    <t>Медикаменти та перев’язувальні матеріали</t>
  </si>
  <si>
    <t>Продукти харчування</t>
  </si>
  <si>
    <t>Видатки на відрядження</t>
  </si>
  <si>
    <t>Оплата водопостачання і водовідведення</t>
  </si>
  <si>
    <t>Субсидії та поточні трансферти підприємствам (установам, організаціям)</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</si>
  <si>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</si>
  <si>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</si>
  <si>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</si>
  <si>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житлового фонду (приміщень)</t>
  </si>
  <si>
    <t>090308</t>
  </si>
  <si>
    <t>090406</t>
  </si>
  <si>
    <t>130102</t>
  </si>
  <si>
    <t>Капітальні трансферти підприємствам (установам, організаціям)</t>
  </si>
  <si>
    <t>Оплата послуг (крім комуналь   них)</t>
  </si>
  <si>
    <t>Дослідження і розробки, окремі заходи розвитку по реалізації державних (регіональних) програм</t>
  </si>
  <si>
    <t>Резервний фонд</t>
  </si>
  <si>
    <t>090407</t>
  </si>
  <si>
    <t>1060</t>
  </si>
  <si>
    <t>081007</t>
  </si>
  <si>
    <t>081008</t>
  </si>
  <si>
    <t>081009</t>
  </si>
  <si>
    <t>081010</t>
  </si>
  <si>
    <t>090802</t>
  </si>
  <si>
    <t>090501</t>
  </si>
  <si>
    <t>1050</t>
  </si>
  <si>
    <t>Виплата пенсій і допомоги</t>
  </si>
  <si>
    <t>070501</t>
  </si>
  <si>
    <t>081006</t>
  </si>
  <si>
    <t xml:space="preserve">Капітальні трансферти населенню
</t>
  </si>
  <si>
    <t>130106</t>
  </si>
  <si>
    <t xml:space="preserve">Стипендії
</t>
  </si>
  <si>
    <t>Код                                     програмної класифікації видатків та кредиту- вання місцевого бюджету</t>
  </si>
  <si>
    <t>Код ТПКВКМБ /ТКВКБМС</t>
  </si>
  <si>
    <t>Код ФКВКБ</t>
  </si>
  <si>
    <t>Назва головного розпорядника коштів</t>
  </si>
  <si>
    <t>Найменування програми/підпрограми видатків та міських програм</t>
  </si>
  <si>
    <t>6310</t>
  </si>
  <si>
    <t>8370</t>
  </si>
  <si>
    <t>Разом:</t>
  </si>
  <si>
    <t>1000000</t>
  </si>
  <si>
    <t>1010000</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</si>
  <si>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</si>
  <si>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</si>
  <si>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освітньої субвенції з державного бюджету</t>
  </si>
  <si>
    <t xml:space="preserve"> - субвенції за рахунок залишку коштів освітньої субвенції з державного бюджету місцевим бюджетам, що утворився на початок бюджетного періоду</t>
  </si>
  <si>
    <t xml:space="preserve"> - субвенція з обласного бюджету за рахунок коштів освітньої субвенції з державного бюджету</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</si>
  <si>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</si>
  <si>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Надання позашкільної освіти позашкільними закладами освіти, заходи із позашкільної роботи з дітьми</t>
  </si>
  <si>
    <t>Разом :</t>
  </si>
  <si>
    <t>1100000</t>
  </si>
  <si>
    <t>1110000</t>
  </si>
  <si>
    <t>1113130</t>
  </si>
  <si>
    <t>3130</t>
  </si>
  <si>
    <t>Здійснення соціальної роботи з вразливими категоріями населення</t>
  </si>
  <si>
    <t>1113131</t>
  </si>
  <si>
    <t>3131</t>
  </si>
  <si>
    <t>Центри соціальних служб для сім’ї, дітей та молоді</t>
  </si>
  <si>
    <t>1113132</t>
  </si>
  <si>
    <t>3132</t>
  </si>
  <si>
    <t>Програми і заходи центрів соціальних служб для сім'ї, дітей та молоді (Міська комплексна програма  "Молоде покоління  м.Южноукраїнська" на 2016-2020 роки)</t>
  </si>
  <si>
    <t xml:space="preserve"> - медичної субвенції з державного бюджету</t>
  </si>
  <si>
    <t>090205</t>
  </si>
  <si>
    <t>3035</t>
  </si>
  <si>
    <t>3090</t>
  </si>
  <si>
    <t>090417</t>
  </si>
  <si>
    <t>3104</t>
  </si>
  <si>
    <t>3180</t>
  </si>
  <si>
    <t xml:space="preserve"> - субвенція з обласного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</si>
  <si>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</si>
  <si>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2013112</t>
  </si>
  <si>
    <t>3112</t>
  </si>
  <si>
    <t>091105</t>
  </si>
  <si>
    <t>4060</t>
  </si>
  <si>
    <t>0824</t>
  </si>
  <si>
    <t>0828</t>
  </si>
  <si>
    <t>110204</t>
  </si>
  <si>
    <t>5011</t>
  </si>
  <si>
    <t xml:space="preserve"> - міська програма розвитку культури, фізичної культури, спорту та туризму в м.Южноукраїнську на 2014-2018 роки</t>
  </si>
  <si>
    <t xml:space="preserve"> - міська програма розвитку футболу в м.Южноукраїнську на 2013-2016 роки</t>
  </si>
  <si>
    <t>5012</t>
  </si>
  <si>
    <t>5031</t>
  </si>
  <si>
    <t>5061</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</si>
  <si>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</si>
  <si>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підтримки об'єднань співвласників багатоквартирних будинків на 2016-2018 роки </t>
  </si>
  <si>
    <t xml:space="preserve"> -  міська програма управління  майном комунальної форми власності  міста Южноукраїнська на 2015-2019 роки</t>
  </si>
  <si>
    <t>6020</t>
  </si>
  <si>
    <t>6030</t>
  </si>
  <si>
    <t xml:space="preserve"> - за рахунок субвенції на здійснення заходів щодо соціально-економічного розвитку окремих територій</t>
  </si>
  <si>
    <t xml:space="preserve"> - міська програма розвитку дорожнього руху та його безпеки в місті Южноукраїнську на 2013-2017 роки  </t>
  </si>
  <si>
    <t xml:space="preserve"> - міська програма  "Фонд міської ради на виконання депутатських повноважень" на 2017 рік </t>
  </si>
  <si>
    <t>3031</t>
  </si>
  <si>
    <t>Заходи державної політики з питань дітей та їх соціального захисту (міська Програма захисту прав дітей міста Южноукраїнська "Дитинство"на 2013-2017 рік)</t>
  </si>
  <si>
    <t>Всього видатки спеціального фонду бюджету міста:</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</si>
  <si>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</si>
  <si>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Всього видатки загального фонду бюджету міста:</t>
  </si>
  <si>
    <t>ЗАГАЛЬНИЙ ФОНД</t>
  </si>
  <si>
    <t>СПЕЦІАЛЬНИЙ ФОНД</t>
  </si>
  <si>
    <t>Благоустрій  міст, сіл, селищ (Програма охорони довкілля та раціонального природокористування міста Южноукраїнська на 2016-2020 роки)</t>
  </si>
  <si>
    <t>0421</t>
  </si>
  <si>
    <t xml:space="preserve"> - міська  програма охорони тваринного світу та регулювання чисельності бродячих тварин в місті  Южноукраїнську на 2017-2021 роки </t>
  </si>
  <si>
    <t>Начальник фінансового управління Южноукраїнської міської ради</t>
  </si>
  <si>
    <t>Т.О.Гончарова</t>
  </si>
  <si>
    <t xml:space="preserve">Обсяги додаткових асигнувань та перерозподіл бюджетних призначень   </t>
  </si>
  <si>
    <t xml:space="preserve"> - палаци і будинки культури, клуби та інші заклади клубного типу</t>
  </si>
  <si>
    <t>2010</t>
  </si>
  <si>
    <t>0731</t>
  </si>
  <si>
    <t>0640</t>
  </si>
  <si>
    <t xml:space="preserve"> -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</si>
  <si>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 - за рахунок субвенції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</si>
  <si>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 xml:space="preserve"> - міська програма підтримки об'єднань співвласників багатоквартирних будинків на 2016-2018 роки  в новій редакції</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</si>
  <si>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</si>
  <si>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утримання комунального закладу "Територіальний центр соціального обслуговування (надання соціальних послуг) м.Южноукраїнськ</t>
  </si>
  <si>
    <t>Субвенція з місцевого бюджету державному бюджету на виконання програм соціально-економічного та культурного розвитку регіонів</t>
  </si>
  <si>
    <t xml:space="preserve">  - міська програма підтримки об'єднань співвласників багатоквартирних будинків на 2016-2018 роки </t>
  </si>
  <si>
    <t>0316310</t>
  </si>
  <si>
    <t xml:space="preserve"> - міська програма капітального будівництва об’єктів житлово - комунального господарства та соціальної інфраструктури в м.Южноукраїнську на 2016-2020 роки</t>
  </si>
  <si>
    <t>Реалізація заходів щодо інвестиційного розвитку території  - всього, в т.ч.</t>
  </si>
  <si>
    <t xml:space="preserve"> -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</si>
  <si>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</si>
  <si>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</si>
  <si>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"Фонд міської ради на виконання депутатських повноважень" на 2017 рік </t>
  </si>
  <si>
    <t xml:space="preserve"> - утримання департаменту соціальних питань та охорони здоров'я Южноукраїнської міської ради</t>
  </si>
  <si>
    <t>Придбання землі та нематеріальних активів</t>
  </si>
  <si>
    <t>- стабілізаційна дотація з державного бюджету місцевим бюджетам за рахунок відповідної дотації, наданої обласному бюджету Миколаївської області з державного бюджету на 2017 рік</t>
  </si>
  <si>
    <t>0210150</t>
  </si>
  <si>
    <t>0150</t>
  </si>
  <si>
    <t xml:space="preserve"> - утримання виконавчого комітету Южноукраїнської міської ради</t>
  </si>
  <si>
    <t>0210000</t>
  </si>
  <si>
    <t>0200000</t>
  </si>
  <si>
    <t>0218220</t>
  </si>
  <si>
    <t>8220</t>
  </si>
  <si>
    <t>Заходи та роботи з мобілізаційної підготовки місцевого значення</t>
  </si>
  <si>
    <t>0610160</t>
  </si>
  <si>
    <t>Керівництво і управління у відповідній сфері у містах (місті Києві), селищах, селах, об’єднаних територіальних громадах, в тому числі:</t>
  </si>
  <si>
    <t xml:space="preserve"> - утримання управління освіти Южноукраїнської міської ради</t>
  </si>
  <si>
    <t>0610000</t>
  </si>
  <si>
    <t>0611010</t>
  </si>
  <si>
    <t xml:space="preserve">Надання дошкільної освiти                                                                         </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</si>
  <si>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2018 рік</t>
  </si>
  <si>
    <t>0611020</t>
  </si>
  <si>
    <t>0611090</t>
  </si>
  <si>
    <t>0611150</t>
  </si>
  <si>
    <t>1150</t>
  </si>
  <si>
    <t>Методичне забезпечення діяльності навчальних закладів</t>
  </si>
  <si>
    <t>0611161</t>
  </si>
  <si>
    <t>1161</t>
  </si>
  <si>
    <t xml:space="preserve"> Забезпечення діяльності інших закладів у сфері освіти </t>
  </si>
  <si>
    <t xml:space="preserve"> - централізоване ведення бухгалтерського обліку </t>
  </si>
  <si>
    <t>2817130</t>
  </si>
  <si>
    <t>2818311</t>
  </si>
  <si>
    <t>8311</t>
  </si>
  <si>
    <t>0511</t>
  </si>
  <si>
    <t>2818340</t>
  </si>
  <si>
    <t xml:space="preserve"> - програма охорони довкілля та раціонального природокористування міста Южноукраїнська на 2016-2020 роки</t>
  </si>
  <si>
    <t xml:space="preserve">Охорона та раціональне використання природних ресурсів </t>
  </si>
  <si>
    <t>1210160</t>
  </si>
  <si>
    <t>- міська комплексна програма  "Молоде покоління  м.Южноукраїнська" на 2016-2020 роки</t>
  </si>
  <si>
    <t xml:space="preserve"> - міська програма  "Фонд міської ради на виконання депутатських повноважень"  </t>
  </si>
  <si>
    <t xml:space="preserve"> -  міська програма  "Фонд міської ради на виконання депутатських повноважень" на 2018-2020 роки</t>
  </si>
  <si>
    <t xml:space="preserve"> - міська програма підтримки об'єднань співвласників багатоквартирних будинків на 2016-2018 роки в новій редакції</t>
  </si>
  <si>
    <t>7461</t>
  </si>
  <si>
    <t>Утримання та розвиток автомобільних доріг та дорожньої інфраструктури за рахунок коштів місцевого бюджету</t>
  </si>
  <si>
    <t xml:space="preserve">- міська програма реформування і розвитку житлово - комунального господарства міста Южноукраїнська на 2016-2020 роки </t>
  </si>
  <si>
    <t>1217691</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</si>
  <si>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</si>
  <si>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208-2020 роки </t>
  </si>
  <si>
    <t>1217461</t>
  </si>
  <si>
    <t>0812146</t>
  </si>
  <si>
    <t>2146</t>
  </si>
  <si>
    <t>0900000</t>
  </si>
  <si>
    <t>0910000</t>
  </si>
  <si>
    <t xml:space="preserve"> - міська комплексна програма "Охорона здоров'я" в частині борьби з онкологічними захворюваннями</t>
  </si>
  <si>
    <t xml:space="preserve"> - міська комплексна програма "Турбота" на 2018- 2022 роки </t>
  </si>
  <si>
    <t>9770</t>
  </si>
  <si>
    <t>Інші субвенції с місцевого бюджету</t>
  </si>
  <si>
    <t>1217321</t>
  </si>
  <si>
    <t>7321</t>
  </si>
  <si>
    <t>0819770</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</si>
  <si>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та міської соціальної програми підтримки учасників АТО та членів їх сімей, на 2016-2020 роки)</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</si>
  <si>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</si>
  <si>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</si>
  <si>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0619770</t>
  </si>
  <si>
    <t xml:space="preserve">Інші субвенції з місцевого бюджету </t>
  </si>
  <si>
    <t>0617690</t>
  </si>
  <si>
    <t>0617691</t>
  </si>
  <si>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</si>
  <si>
    <t>0217350</t>
  </si>
  <si>
    <t>7350</t>
  </si>
  <si>
    <t>Розроблення схем планування та забудови територій (містобудівної документації)</t>
  </si>
  <si>
    <t>0817363</t>
  </si>
  <si>
    <t>7363</t>
  </si>
  <si>
    <t>Виконання інвестиційних проектів в рамках здійснення заходів щодо соціально-економічного розвитку окремих територій</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</si>
  <si>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2018-2022 роки</t>
  </si>
  <si>
    <t xml:space="preserve"> -  міська програма реформування і розвитку житлово - комунального господарства міста Южноукраїнська на 2016-2020 роки </t>
  </si>
  <si>
    <t>0218370</t>
  </si>
  <si>
    <t xml:space="preserve"> - кошти міського бюджету на співфінансування з державним бюджетом на придбання медичного обладнання для комунального закладу "Южноукраїнська міська лікарня"</t>
  </si>
  <si>
    <t>1217322</t>
  </si>
  <si>
    <t>7322</t>
  </si>
  <si>
    <t>0433</t>
  </si>
  <si>
    <t xml:space="preserve">Програми і централізовані заходи боротьби з туберкульозом </t>
  </si>
  <si>
    <t xml:space="preserve">  - міська комплексна програма "Охорона здоров'я" в частині протидії захворювання на туберкульоз (одержувач бюджетних коштів - некомерційне комунальне підприємство «Южноукраїнський міський центр первинної медико-санітарної допомоги»)</t>
  </si>
  <si>
    <t xml:space="preserve">Програми і централізовані заходи з імунопрофілактики </t>
  </si>
  <si>
    <t xml:space="preserve"> - міська комплексна програма "Охорона здоров'я" в частині імунопрофілактики та захисту населення від інфекційних захворювань</t>
  </si>
  <si>
    <t xml:space="preserve"> - міська комплексна програма "Охорона здоров'я" в частині імунопрофілактики та захисту населення від інфекційних захворювань (одержувач бюджетних коштів - некомерційне комунальне підприємство «Южноукраїнський міський центр первинної медико-санітарної допомоги»)</t>
  </si>
  <si>
    <t xml:space="preserve">  - кошти міського бюджету на співфінансування з державним бюджетом для придбання медичного обладнання (резерв)</t>
  </si>
  <si>
    <t>Будівництво освітніх установ та закладів</t>
  </si>
  <si>
    <t>Будівництво медичних установ та закладів</t>
  </si>
  <si>
    <t>Сприяння розвитку малого та середнього підприємництва</t>
  </si>
  <si>
    <t>0411</t>
  </si>
  <si>
    <t>7610</t>
  </si>
  <si>
    <t>0217610</t>
  </si>
  <si>
    <t>2919800</t>
  </si>
  <si>
    <t>9800</t>
  </si>
  <si>
    <t xml:space="preserve">Субвенція з місцевого бюджету державному бюджету на виконання програм соціально-економічного розвитку регіонів </t>
  </si>
  <si>
    <t xml:space="preserve"> - міська програма розвитку  дорожнього руху та його безпеки в місті Южноукраїнську  на 2018-2022 роки</t>
  </si>
  <si>
    <t>Заходи з організації рятування на водах                                                                                                      (утримання рятувального поста)</t>
  </si>
  <si>
    <t xml:space="preserve"> - міська програма розвитку малого та середнього підприємництва на 2017-2018 роки</t>
  </si>
  <si>
    <t>0219800</t>
  </si>
  <si>
    <t xml:space="preserve"> - міська програма реформування і розвитку житлово-комунального господарства міста Южноукраїнська на 2016-2020 роки</t>
  </si>
  <si>
    <t xml:space="preserve">Управління екології, охорони навколишнього середовища та земельних відносин Южноукраїнської міської ради </t>
  </si>
  <si>
    <t xml:space="preserve">Управління з питань надзвичайних ситуацій та взаємодії з правоохоронними органами Южноукраїнської міської ради </t>
  </si>
  <si>
    <t>Департамент інфраструктури міського господарства Южноукраїнської міської ради</t>
  </si>
  <si>
    <t xml:space="preserve">Департамент інфраструктури міського господарства Южноукраїнської міської ради </t>
  </si>
  <si>
    <t>Управління з питань надзвичайних ситуацій та взаємодії з правоохоронними органами Южноукраїнської міської ради</t>
  </si>
  <si>
    <t>Управління екології, охорони навколишнього середовища та земельних відносин Южноукраїнської міської ради</t>
  </si>
  <si>
    <t>0611170</t>
  </si>
  <si>
    <t>1170</t>
  </si>
  <si>
    <t>Забзпечення дільності інклюзивно-ресурсних центрів</t>
  </si>
  <si>
    <t xml:space="preserve"> - субвенція з обласного бюджету на здійснення переданих видатків у сфері освіти за рахунок коштів освітньої субвенції </t>
  </si>
  <si>
    <t xml:space="preserve">  - утримання позашкільної освіти (станція юних техників, центр дитячо-юнацької творчості)</t>
  </si>
  <si>
    <t xml:space="preserve">Управління освіти Южноукраїнської міської ради </t>
  </si>
  <si>
    <t>Управління освіти Южноукраїнської міської ради</t>
  </si>
  <si>
    <t xml:space="preserve">Департамент соціальних питань та охорони здоров'я Южноукраїнської міської ради </t>
  </si>
  <si>
    <t xml:space="preserve">Управління молоді, спорту та культури Южноукраїнської міської ради </t>
  </si>
  <si>
    <t>Департамент соціальних питань та охорони здоров'я Южноукраїнської міської ради</t>
  </si>
  <si>
    <t xml:space="preserve">Фінансове  управління Южноукраїнської міської ради </t>
  </si>
  <si>
    <t xml:space="preserve">Виконавчий комітет Южноукраїнської міської ради </t>
  </si>
  <si>
    <t xml:space="preserve">Служба у справах дітей Южноукраїнської міської ради </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</si>
  <si>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2018 рік (п.6 рішення міської ради від 05.03.2019 №1354 "Про бюджет міста Южноукраїнськ на 2019 рік")</t>
  </si>
  <si>
    <t>37101020</t>
  </si>
  <si>
    <t>37101010</t>
  </si>
  <si>
    <t xml:space="preserve"> - резерв коштів на ремонтні роботи в дошкільних навчальних закладах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</si>
  <si>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 - утримання Южноукраїнського міського центру культури та дозвілля</t>
  </si>
  <si>
    <t xml:space="preserve"> - утримання комунального закладу "Дитяча школа містецтв"</t>
  </si>
  <si>
    <t xml:space="preserve"> - утримання комунального закладу "Южноукраїнська дитячо – юнацька спортивна школа" </t>
  </si>
  <si>
    <t xml:space="preserve"> - утримання Южноукраїнського інклюзивно-ресурсного центру</t>
  </si>
  <si>
    <t xml:space="preserve"> - утримання комунального закладу "Міжкільний навчально-виробничий комбінат" (0623)</t>
  </si>
  <si>
    <t xml:space="preserve"> - утримання централізованої бухгалтерії (0621)</t>
  </si>
  <si>
    <t xml:space="preserve"> - утримання групи з централізованого господарського обслуговування закладів і установ освіти (0622)</t>
  </si>
  <si>
    <t xml:space="preserve"> -  утримання загальноосвітніх навчальних закладів</t>
  </si>
  <si>
    <t xml:space="preserve"> - утримання дошкільних навчальних закладів</t>
  </si>
  <si>
    <t xml:space="preserve"> - утримання загальноосвітніх навчальних закладів</t>
  </si>
  <si>
    <t xml:space="preserve">Багатопрофільна стационарна медична допомога населенню </t>
  </si>
  <si>
    <t xml:space="preserve"> - резерв коштів на ремонтні роботи в загальноосвітніх школах та гімназії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</si>
  <si>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 - міська програма «Охорона здоров`я в місті Южноукраїнську» на  2017-2022 рік в частині оплати енергоносіїв некомерційного комунального підприємства «Южноукраїнський міський центр первинної медико-санітарної допомоги" </t>
  </si>
  <si>
    <t xml:space="preserve"> - міська програма підтримки об'єднань  співвласників багатоквартирних будинків на 2019-2023 роки</t>
  </si>
  <si>
    <t xml:space="preserve"> - співфінансування з обласним бюджетом мікропроекту "Школа майбутнього" (10%)</t>
  </si>
  <si>
    <t>3712111</t>
  </si>
  <si>
    <t xml:space="preserve"> - резерв коштів  на фінансування напрямів та заходів в галузі охорона здоров'я, що  будуть визначені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t>
  </si>
  <si>
    <t>Додаток  №3.1</t>
  </si>
  <si>
    <t>Будівництво інших об'єктів комунальної власності</t>
  </si>
  <si>
    <t xml:space="preserve"> - міська програма розвитку культури, фізичної культури, спорту та туризму в м.Южноукраїнську на 2019-2024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</si>
  <si>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</si>
  <si>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</si>
  <si>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</si>
  <si>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1212010</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</si>
  <si>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</si>
  <si>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 - міська комплексна програма "Охорона здоров'я"</t>
  </si>
  <si>
    <t xml:space="preserve"> - міська програма енергозбереження в сфері житлово - комунального господарства м.Южноукраїнська   на 2016-2020 роки </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</si>
  <si>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</si>
  <si>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</si>
  <si>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</si>
  <si>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 xml:space="preserve"> - міська програма захисту прав дітей "Дитинство" на 2018-2020 роки</t>
  </si>
  <si>
    <t xml:space="preserve"> - міська програма захисту прав дітей "Дитинство" на 2018-2020 роки (співфінансування з обласним бюджетом (10%) мікропроекту  з заміни віконних блоків ігрової кімнати) </t>
  </si>
  <si>
    <t>3718700</t>
  </si>
  <si>
    <t>3718500</t>
  </si>
  <si>
    <t>0610</t>
  </si>
  <si>
    <t xml:space="preserve"> - міська підтримки об'єднань співвласників багатоквартирних будинків на 2019-2023 роки </t>
  </si>
  <si>
    <t>1017622</t>
  </si>
  <si>
    <t>7622</t>
  </si>
  <si>
    <t>Реалізація програм і заходів в галузі туризму та курортів</t>
  </si>
  <si>
    <t>0470</t>
  </si>
  <si>
    <t>0217370</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</si>
  <si>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в т.ч. компенсаційні витрати ВП "ЮУАЕС" ДП НАЕК "Енергоатом" від реалізації теплововї енергії за тарифами нижче економічно обгрунтованого рівня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</si>
  <si>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</si>
  <si>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</si>
  <si>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</si>
  <si>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на розробку проектно-кошторисної документації та експертиза об'єкту "Капітальний ремонт в харчоблоках блоків А, Б дошкільного навчального закладу №8 "Казка" в м. Южноукраїнськ Миколаївської області" (співфінансування (10%) з обласним бюджетом)</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</si>
  <si>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(судовий збір)</t>
  </si>
  <si>
    <t xml:space="preserve"> - здійснення централізованого господарського обслуговування (0622)</t>
  </si>
  <si>
    <t xml:space="preserve"> - кошти міського бюджету на  співфінансування реалізації мікропроекту  «Вуличний дитячий майданчик – крок до здійснення мрій з особливими потребами»</t>
  </si>
  <si>
    <t xml:space="preserve"> - субвенціяз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</si>
  <si>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1217462</t>
  </si>
  <si>
    <t>7462</t>
  </si>
  <si>
    <t xml:space="preserve"> - репродуктивне здоров'я населення (одержувач бюджетних коштів - некомерційне комунальне підприємство «Южноукраїнський міський центр первинної медико-санітарної допомоги») (1815)</t>
  </si>
  <si>
    <t xml:space="preserve"> - реформування медичного обслуговування населення (0813)</t>
  </si>
  <si>
    <t>0816082</t>
  </si>
  <si>
    <t>6082</t>
  </si>
  <si>
    <t xml:space="preserve"> - міська програма Питна вода  міста  Южноукраїнська на 2007-2020 роки </t>
  </si>
  <si>
    <t>0617363</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</si>
  <si>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</si>
  <si>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1218110</t>
  </si>
  <si>
    <t xml:space="preserve"> - міська програма приватизації майна комунальної власності територіальної громади міста Южноукраїнська на 2018-2020 роки </t>
  </si>
  <si>
    <t xml:space="preserve">за головними розпорядниками бюджетних коштів на 2020 рік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</si>
  <si>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(одержувач бюджетних коштів - комунальне некомерційне підприємство "Южноукраїнська міська багатопрофільна лікарня")</t>
  </si>
  <si>
    <t>0819800</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</si>
  <si>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</si>
  <si>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</si>
  <si>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обласному бюджету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</si>
  <si>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</si>
  <si>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0818110</t>
  </si>
  <si>
    <t xml:space="preserve"> - міська програма підтримки об'єднань співвласників багатоквартирних будинків на 2019-2023  роки </t>
  </si>
  <si>
    <t>до рішення Южноукраїнської міської ради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</si>
  <si>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</si>
  <si>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</si>
  <si>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(групи з централізованого господарського обслуговування закладів і установ освіти)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</si>
  <si>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(Міжкільний навчально-виробничий комбінат)</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</si>
  <si>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</si>
  <si>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</si>
  <si>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0917691</t>
  </si>
  <si>
    <t>0917690</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</si>
  <si>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</si>
  <si>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 xml:space="preserve">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</si>
  <si>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</si>
  <si>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кошти загальною сумою на боротьбу з COVID-19 та інші екстрені проблемні напрями  для подальшого розподілу за спільним рішенням постійних комісій міської ради з питань соціально-економічного і культурного розвитку, планування та обліку, підприємництва, бюджету, фінансів і цін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</si>
  <si>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(одержувач бюджетних коштів - некомерційне комунальне підприємство «Южноукраїнський міський центр первинної медико-санітарної допомоги»)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</si>
  <si>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(централізована бухгалтерія)</t>
  </si>
  <si>
    <t>Методичне забезпечення діяльності закладів освіти</t>
  </si>
  <si>
    <t xml:space="preserve"> -  запобігання та лікування  серцево-судинних та судинно-мозкових захворювань (0812)</t>
  </si>
  <si>
    <t xml:space="preserve"> - утримання Южноукраїнського міського  історичного  музею</t>
  </si>
  <si>
    <t xml:space="preserve"> - міська програма підтримки органу самоорганізації населення кварталу №7 м.Южноукраїнська - «Управа МПЗ» на 2019-2020 роки</t>
  </si>
  <si>
    <t>- міська програма  "Фонд міської ради на виконання депутатських повноважень" на 2018-2020 роки</t>
  </si>
  <si>
    <t>1016030</t>
  </si>
  <si>
    <t xml:space="preserve">- міська програма  "Фонд міської ради на виконання депутатських повноважень" на 2018-2020 роки </t>
  </si>
  <si>
    <t xml:space="preserve"> -  утримання комунальних закладів "Міська бібліотека для дітей", "Міська бібліотека для дорослих"</t>
  </si>
  <si>
    <t xml:space="preserve"> - утримання  інших закладів в галузі культури і мистецтва </t>
  </si>
  <si>
    <t xml:space="preserve">Забезпечення діяльності місцевих центрів фізичного здоров'я населення "Спорт для всіх" та проведення фізкультурно - масових заходів серед населення регіону </t>
  </si>
  <si>
    <t>Централізовані заходи з лікування онкологічних хворих</t>
  </si>
  <si>
    <t>0817322</t>
  </si>
  <si>
    <t xml:space="preserve"> - міська програма "Наше місто"на 2020-2024 роки</t>
  </si>
  <si>
    <t xml:space="preserve">- міська програма управління  майном комунальної форми власності  міста Южноукраїнська на 2020-2024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</si>
  <si>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</si>
  <si>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</si>
  <si>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</si>
  <si>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</si>
  <si>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відшкодування вартості медичних препаратів хворим, які перенсли трансплантацію органів та тканин, пацієнтам з хворобою Паркінсона, дітям хворим на епілепсію (0809)</t>
  </si>
  <si>
    <t xml:space="preserve"> - розвитку донорства крові  та її компонентів на 2017-2021 роки (0811)</t>
  </si>
  <si>
    <t xml:space="preserve"> - надання паліативної та хоспісної допомоги (0814)</t>
  </si>
  <si>
    <t xml:space="preserve">  - надання допомоги хворим з хранично - нирковою недостатністю(0816)</t>
  </si>
  <si>
    <t>Утримання та розвиток автомобільних доріг та дорожньої інфраструктури за рахунок субвенції з державного бюджету</t>
  </si>
  <si>
    <t>Капітальний ремонт інших об'єктів</t>
  </si>
  <si>
    <t xml:space="preserve"> - утримання комунальної установи "Консалтингово–методичний освітній центр"</t>
  </si>
  <si>
    <t xml:space="preserve"> </t>
  </si>
  <si>
    <t xml:space="preserve"> - міська програма «Охорона здоров`я в місті Южноукраїнську» на  2017-2022 рок в частині розвитку первинної медико-санітарної допомоги (одержувач бюджетних коштів - некомерційне комунальне підприємство «Южноукраїнський міський центр первинної медико-санітарної допомоги»)</t>
  </si>
  <si>
    <t xml:space="preserve"> - міська програма "Залучення інвестицій та поліпшення інвестиційного клімату міста Южноукраїнська на 2019-2021 роки"</t>
  </si>
  <si>
    <t xml:space="preserve"> - міська соціальна програма Підтримки учасників АТО та членів їх сімей на 2016-2020 року</t>
  </si>
  <si>
    <t xml:space="preserve"> - міська соціальна програма Підтримки учасників АТО та членів їх сімей на 2016-2020 року- "Воїни та ветерани антитерористичної операції"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</si>
  <si>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відділу в м. Южноукраїнську  Управління Служби безпеки України в Миколаївській області)</t>
  </si>
  <si>
    <t xml:space="preserve"> -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відділу в м. Южноукраїнську  Управління Служби безпеки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</si>
  <si>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Южноукраїнської міської територіальної виборчої комісії Вознесенського району Миколаївської області)</t>
  </si>
  <si>
    <t>Надання спеціальної освіти мистецькими школами</t>
  </si>
  <si>
    <t>Фінансове  управління Южноукраїнської міської ради</t>
  </si>
  <si>
    <t>Служба у справах дітей Южноукраїнської міської ради</t>
  </si>
  <si>
    <t>0210191</t>
  </si>
  <si>
    <t>0191</t>
  </si>
  <si>
    <t xml:space="preserve"> и</t>
  </si>
  <si>
    <t>2917360</t>
  </si>
  <si>
    <t>2917364</t>
  </si>
  <si>
    <t>- міська програма розвитку культури, фізичної культури, спорту та туризму в м.Южноукраїнську на 2019-2024 роки</t>
  </si>
  <si>
    <t xml:space="preserve"> - міська програма  "Фонд міської ради на виконання депутатських повноважень" на 2018-2020 роки (1206)</t>
  </si>
  <si>
    <t xml:space="preserve"> -  міська програма реформування і розвитку житлово - комунального господарства міста Южноукраїнська на 2016-2020 роки (1221)</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</si>
  <si>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(2901)</t>
  </si>
  <si>
    <t xml:space="preserve"> - міська програма поводження з твердими побутовими відходами на території міста Южноукраїнська на 2013 - 2020 роки (1214)  </t>
  </si>
  <si>
    <t xml:space="preserve"> - міській програмі поводження з твердими побутовими відходами на території міста Южноукраїнська на 2013 - 2020 роки (1214)</t>
  </si>
  <si>
    <t xml:space="preserve"> -міська програма розвитку культури, фізичної культури, спорту та туризму в м.Южноукраїнську на 2019-2024 роки (1001)</t>
  </si>
  <si>
    <t xml:space="preserve"> - міська програма охорони тваринного світу та регулювання чисельності бродячих тварин в місті Южноукраїнську на 2017-2021 рр (1211)</t>
  </si>
  <si>
    <t xml:space="preserve"> - міська  програма охорони тваринного світу та регулювання чисельності бродячих тварин в місті  Южноукраїнську на 2017-2021 роки (1211)</t>
  </si>
  <si>
    <t xml:space="preserve"> - міська комплексна програма "Охорона здоров'я" (одержувач бюджетних коштів - комунальне некомерційне підприємство "Южноукраїнська міська багатопрофільна лікарня") (0818)</t>
  </si>
  <si>
    <t xml:space="preserve"> - міська програма  "Фонд міської ради на виконання депутатських повноважень" на 2018-2020 роки (0605</t>
  </si>
  <si>
    <t xml:space="preserve"> - міська програма  "Фонд міської ради на виконання депутатських повноважень" на 2018-2020 роки (0605)</t>
  </si>
  <si>
    <t xml:space="preserve"> - міська програма розвитку культури, фізичної культури, спорту та туризму в м.Южноукраїнську на 2019-2024 роки (1003)</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</si>
  <si>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(одержувач бюджетних коштів - некомерційне комунальне підприємство «Южноукраїнський міський центр первинної медико-санітарної допомоги») (0802)</t>
  </si>
  <si>
    <t xml:space="preserve"> - міська комплексна програма "Турбота" на на 2018 - 2022 роки (0830)</t>
  </si>
  <si>
    <t xml:space="preserve"> - міська соціальна програма Підтримки учасників АТО та членів їх сімей на 2016-2020 року (0820)</t>
  </si>
  <si>
    <t xml:space="preserve">  </t>
  </si>
  <si>
    <t xml:space="preserve"> - міська комплексна програма "Охорона здоров'я" в частині протидії захворювання на туберкульоз (одержувач бюджетних коштів - некомерційне комунальне підприємство «Южноукраїнський міський центр первинної медико-санітарної допомоги»)</t>
  </si>
  <si>
    <t xml:space="preserve"> - запобігання та лікування  серцево-судинних та судинно-мозкових захворювань </t>
  </si>
  <si>
    <t xml:space="preserve">від ___________________2020 №_______        </t>
  </si>
  <si>
    <r>
      <t xml:space="preserve">Виконавчий комітет Южноукраїнської міської ради </t>
    </r>
    <r>
      <rPr>
        <i/>
        <sz val="14"/>
        <color indexed="8"/>
        <rFont val="Times New Roman"/>
        <family val="1"/>
      </rPr>
      <t>(головний розпорядник)</t>
    </r>
  </si>
  <si>
    <r>
      <t xml:space="preserve">Виконавчий комітет Южноукраїнської міської ради </t>
    </r>
    <r>
      <rPr>
        <i/>
        <sz val="14"/>
        <color indexed="8"/>
        <rFont val="Times New Roman"/>
        <family val="1"/>
      </rPr>
      <t xml:space="preserve">(відповідальний виконавець) </t>
    </r>
  </si>
  <si>
    <t>Проведення місцевих виборів (субвенція з державного бюджету)</t>
  </si>
  <si>
    <r>
      <t xml:space="preserve"> - міська програма розвитку малого та середнього підприємництва</t>
    </r>
    <r>
      <rPr>
        <sz val="14"/>
        <color indexed="8"/>
        <rFont val="Times New Roman"/>
        <family val="1"/>
      </rPr>
      <t xml:space="preserve"> </t>
    </r>
    <r>
      <rPr>
        <i/>
        <sz val="14"/>
        <color indexed="8"/>
        <rFont val="Times New Roman"/>
        <family val="1"/>
      </rPr>
      <t>на 2017-2018 роки</t>
    </r>
    <r>
      <rPr>
        <sz val="14"/>
        <color indexed="8"/>
        <rFont val="Times New Roman"/>
        <family val="1"/>
      </rPr>
      <t xml:space="preserve"> (на укріплення матеріально-технічної бази Центру обслуговування платників податків)</t>
    </r>
  </si>
  <si>
    <r>
      <t>Управління освіти Южноукраїнської міської ради</t>
    </r>
    <r>
      <rPr>
        <i/>
        <sz val="14"/>
        <color indexed="8"/>
        <rFont val="Times New Roman"/>
        <family val="1"/>
      </rPr>
      <t xml:space="preserve"> </t>
    </r>
  </si>
  <si>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</si>
  <si>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освітня субвенціїя з державного бюджету</t>
  </si>
  <si>
    <t xml:space="preserve"> - кошти залишку субвенції з місцевого бюджету за рахунок залишку коштів освітньої субвенції, що утворився на початок бюджетного періоду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</si>
  <si>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</si>
  <si>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кошти на співфінансування з обласним бюджетом на забезпечення якісної, сучасної та доступної загальної середньої освіти «Нова українська школа» </t>
  </si>
  <si>
    <r>
      <t xml:space="preserve"> - співфінансування 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r>
    <r>
      <rPr>
        <sz val="14"/>
        <color indexed="8"/>
        <rFont val="Times New Roman"/>
        <family val="1"/>
      </rPr>
      <t>(придбання обладнання для їдальні (харчоблоку) ЮЗОШ №4)</t>
    </r>
  </si>
  <si>
    <t xml:space="preserve"> - субвенція з обласного бюджету на реалізацію мікропроектів місцевого розвитку на 2019 рік "Модернізація майстерні трудового навчання"</t>
  </si>
  <si>
    <t xml:space="preserve"> - субвенція з обласного бюджету на реалізацію мікропроектів місцевого розвитку на 2019 рік "Створення сучасного освітнього середовища в закладах освіти"</t>
  </si>
  <si>
    <t xml:space="preserve"> - міська програма розвитку освіти в м.Южноукраїнську на 2016-2020 роки (0602)</t>
  </si>
  <si>
    <t xml:space="preserve"> - кошти перехідного залишку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</si>
  <si>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міського бюджету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</si>
  <si>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r>
      <t xml:space="preserve">Южноукраїнський міський центр соціальних служб для сім'ї, дітей та молоді </t>
    </r>
    <r>
      <rPr>
        <i/>
        <sz val="14"/>
        <color indexed="8"/>
        <rFont val="Times New Roman"/>
        <family val="1"/>
      </rPr>
      <t>(головний розпорядник)</t>
    </r>
  </si>
  <si>
    <r>
      <t>Южноукраїнський міський центр соціальних служб для сім'ї, дітей та молоді</t>
    </r>
    <r>
      <rPr>
        <i/>
        <sz val="14"/>
        <color indexed="8"/>
        <rFont val="Times New Roman"/>
        <family val="1"/>
      </rPr>
      <t xml:space="preserve"> (відповідальний виконавець) </t>
    </r>
  </si>
  <si>
    <r>
      <t>Департамент соціальних питань та охорони здоров'я Южноукраїнської міської ради</t>
    </r>
    <r>
      <rPr>
        <i/>
        <sz val="14"/>
        <color indexed="8"/>
        <rFont val="Times New Roman"/>
        <family val="1"/>
      </rPr>
      <t xml:space="preserve"> </t>
    </r>
  </si>
  <si>
    <t xml:space="preserve"> - медична субвенція з державного бюджету</t>
  </si>
  <si>
    <t xml:space="preserve"> - залишок медичної субвенції з державного бюджету, що утворився на початок бюджетного періоду (0805)</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</si>
  <si>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</si>
  <si>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медична субвенція з державного бюджету (одержувач бюджетних коштів - некомерційне комунальне підприємство «Южноукраїнський міський центр первинної медико-санітарної допомоги»)</t>
  </si>
  <si>
    <t xml:space="preserve"> - субвенція з обласного бюджету місцевим бюджетам на здійснення заходів щодо соціально-економічного розвитку територіальних громад</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</si>
  <si>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</si>
  <si>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</si>
  <si>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</si>
  <si>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</si>
  <si>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коштів державного бюджету) </t>
  </si>
  <si>
    <r>
      <t xml:space="preserve">Інші програми та заходи у сфері охорони здоров’я </t>
    </r>
    <r>
      <rPr>
        <i/>
        <sz val="14"/>
        <color indexed="8"/>
        <rFont val="Times New Roman"/>
        <family val="1"/>
      </rPr>
      <t>(міська комплексна програма "Охорона здоров'я")</t>
    </r>
  </si>
  <si>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</si>
  <si>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Видатки на поховання учасників бойових дій та осіб з інвалідністю внаслідок війни(субвенція з обласного бюджету) </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</si>
  <si>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</si>
  <si>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Встановлення телефонів особам з інвалідністю I і II груп (субвенція з обласного бюджету)</t>
  </si>
  <si>
    <t xml:space="preserve"> - утримання комунального закладу "Центр соціально-психологічної реабілітації дітей" (субвенція з обласного бюджету ) (0901)</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</si>
  <si>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</si>
  <si>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r>
      <t>Управління молоді, спорту та культури Южноукраїнської міської ради</t>
    </r>
    <r>
      <rPr>
        <i/>
        <sz val="14"/>
        <color indexed="8"/>
        <rFont val="Times New Roman"/>
        <family val="1"/>
      </rPr>
      <t xml:space="preserve"> </t>
    </r>
  </si>
  <si>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 (субвенція з державного бюджеу)</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</si>
  <si>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паливно-мастильних матеріалів для 25-тої Державної пожежно-рятувальної частини ГУ ДСНС України в Миколаївській області)</t>
  </si>
  <si>
    <r>
      <rPr>
        <b/>
        <sz val="14"/>
        <color indexed="8"/>
        <rFont val="Times New Roman"/>
        <family val="1"/>
      </rPr>
      <t>Фінансове управління Южноукраїнської міської ради</t>
    </r>
    <r>
      <rPr>
        <i/>
        <sz val="14"/>
        <color indexed="8"/>
        <rFont val="Times New Roman"/>
        <family val="1"/>
      </rPr>
      <t xml:space="preserve"> </t>
    </r>
  </si>
  <si>
    <t xml:space="preserve"> -  субвенція з обласного бюджету на реалізацію мікропроектів місцевого розвитку на 2019 рік "Сучасна комп'ютерна техніка в кабінеті інформатики - основа комфорту у навчанні"</t>
  </si>
  <si>
    <r>
      <t xml:space="preserve"> - кошти міського бюджету на співфінансування мікропроекту</t>
    </r>
    <r>
      <rPr>
        <b/>
        <i/>
        <sz val="14"/>
        <color indexed="8"/>
        <rFont val="Times New Roman"/>
        <family val="1"/>
      </rPr>
      <t xml:space="preserve"> "Сучасна комп'ютерна техніка в кабінеті інформатики - основа комфорту у навчанні"</t>
    </r>
  </si>
  <si>
    <t xml:space="preserve"> - субвенція з обласного бюджету на здійснення переданих видатків у сфері освіти за рахунок  за рахунок залишку коштів освітньої субвенції, що утворився на початок бюджетного періоду</t>
  </si>
  <si>
    <r>
      <t xml:space="preserve"> - співфінансування 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r>
    <r>
      <rPr>
        <sz val="14"/>
        <color indexed="8"/>
        <rFont val="Times New Roman"/>
        <family val="1"/>
      </rPr>
      <t>придбання обладнання для їдальні (харчоблоку) ЮЗОШ №4)</t>
    </r>
  </si>
  <si>
    <t xml:space="preserve"> - міська програма розвитку освіти в м.Южноукраїнську на 2016-2020 роки</t>
  </si>
  <si>
    <t xml:space="preserve"> - залишок медичної субвенції з державного бюджету, що утворився на початок бюджетного періоду </t>
  </si>
  <si>
    <t xml:space="preserve"> - субвенція з обласного бюджету на реалізацію мікропроекту  «Вуличний дитячий майданчик – крок до здійснення мрій з особливими потребами»</t>
  </si>
  <si>
    <t>Придбання житла для окремих категорій населення відповідно до законодавства (субвенція обласного бюджету за рахунок відповідної субвенції з державного бюджету)</t>
  </si>
  <si>
    <t xml:space="preserve"> - субвенція з державного бюджету місцевим бюджетам на здійснення заходів щодо соціально-економічного розвитку окремих територій</t>
  </si>
  <si>
    <t xml:space="preserve"> - залишок коштів субвенції з державного бюджету місцевим бюджетам на здійснення заходів щодо соціально-економічного розвитку окремих територій на 01.01.2019</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</si>
  <si>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</si>
  <si>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субвенція з обласного бюджету місцевим бюджетам на здійснення заходів щодо соціально-економічного розвитку територіальних громад Миколаївської області у 2020 році</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</si>
  <si>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</si>
  <si>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</si>
  <si>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 - субвенція з місцевого бюджету на фівнансове забезпечення будівництва, реконструкції , ремонту і утримання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</si>
  <si>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r>
      <t xml:space="preserve">Управління з питань надзвичайних ситуацій та взаємодії з правоохоронними органами Южноукраїнської міської ради </t>
    </r>
    <r>
      <rPr>
        <i/>
        <sz val="14"/>
        <color indexed="8"/>
        <rFont val="Times New Roman"/>
        <family val="1"/>
      </rPr>
      <t xml:space="preserve"> </t>
    </r>
  </si>
  <si>
    <r>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r>
    <r>
      <rPr>
        <sz val="14"/>
        <color indexed="8"/>
        <rFont val="Times New Roman"/>
        <family val="1"/>
      </rPr>
      <t xml:space="preserve">(придбання гідровлічних розжим -ножиць для 25-ї ДПРЧ ГУ ДСНС України)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</si>
</sst>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
    <numFmt numFmtId="190" formatCode="_-* #,##0.000_р_._-;\-* #,##0.000_р_._-;_-* &quot;-&quot;??_р_._-;_-@_-"/>
    <numFmt numFmtId="191" formatCode="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
    <numFmt numFmtId="197" formatCode="0.00000"/>
    <numFmt numFmtId="198" formatCode="0.000000"/>
    <numFmt numFmtId="199" formatCode="#,##0.000\ &quot;грн.&quot;"/>
    <numFmt numFmtId="200" formatCode="#,##0.00000"/>
    <numFmt numFmtId="201" formatCode="#,##0.0000"/>
    <numFmt numFmtId="202" formatCode="0.0000000"/>
    <numFmt numFmtId="203" formatCode="#,##0.000&quot;р.&quot;"/>
    <numFmt numFmtId="204" formatCode="_-* #,##0.0000_р_._-;\-* #,##0.0000_р_._-;_-* &quot;-&quot;??_р_._-;_-@_-"/>
    <numFmt numFmtId="205" formatCode="_-* #,##0.0_р_._-;\-* #,##0.0_р_._-;_-* &quot;-&quot;??_р_._-;_-@_-"/>
    <numFmt numFmtId="206" formatCode="_-* #,##0.00000_р_._-;\-* #,##0.00000_р_._-;_-* &quot;-&quot;??_р_._-;_-@_-"/>
    <numFmt numFmtId="207" formatCode="#,##0.00000_ ;\-#,##0.00000\ "/>
    <numFmt numFmtId="208" formatCode="#,##0.00&quot;р.&quot;"/>
    <numFmt numFmtId="209" formatCode="#,##0.000000"/>
    <numFmt numFmtId="210" formatCode="0.00000000"/>
    <numFmt numFmtId="211" formatCode="#,##0.0000000"/>
    <numFmt numFmtId="212" formatCode="#,##0.0"/>
  </numFmts>
  <fonts count="83">
    <font>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8"/>
      <name val="Times New Roman"/>
      <family val="1"/>
    </font>
    <font>
      <sz val="20"/>
      <color indexed="8"/>
      <name val="Times New Roman"/>
      <family val="1"/>
    </font>
    <font>
      <sz val="22"/>
      <color indexed="8"/>
      <name val="Times New Roman"/>
      <family val="1"/>
    </font>
    <font>
      <sz val="26"/>
      <color indexed="8"/>
      <name val="Times New Roman"/>
      <family val="1"/>
    </font>
    <font>
      <b/>
      <sz val="20"/>
      <color indexed="8"/>
      <name val="Times New Roman"/>
      <family val="1"/>
    </font>
    <font>
      <sz val="20"/>
      <color indexed="8"/>
      <name val="Arial Cyr"/>
      <family val="0"/>
    </font>
    <font>
      <sz val="26"/>
      <color indexed="8"/>
      <name val="Arial Cyr"/>
      <family val="0"/>
    </font>
    <font>
      <sz val="14"/>
      <color indexed="8"/>
      <name val="Times New Roman"/>
      <family val="1"/>
    </font>
    <font>
      <sz val="16"/>
      <color indexed="8"/>
      <name val="Times New Roman"/>
      <family val="1"/>
    </font>
    <font>
      <sz val="12"/>
      <color indexed="8"/>
      <name val="Times New Roman"/>
      <family val="1"/>
    </font>
    <font>
      <b/>
      <sz val="14"/>
      <color indexed="8"/>
      <name val="Times New Roman"/>
      <family val="1"/>
    </font>
    <font>
      <sz val="18"/>
      <color indexed="8"/>
      <name val="Times New Roman"/>
      <family val="1"/>
    </font>
    <font>
      <b/>
      <sz val="18"/>
      <color indexed="8"/>
      <name val="Times New Roman"/>
      <family val="1"/>
    </font>
    <font>
      <b/>
      <sz val="16"/>
      <color indexed="8"/>
      <name val="Times New Roman"/>
      <family val="1"/>
    </font>
    <font>
      <b/>
      <i/>
      <sz val="14"/>
      <color indexed="8"/>
      <name val="Times New Roman"/>
      <family val="1"/>
    </font>
    <font>
      <sz val="16"/>
      <color indexed="8"/>
      <name val="Arial Cyr"/>
      <family val="0"/>
    </font>
    <font>
      <b/>
      <sz val="16"/>
      <color indexed="8"/>
      <name val="Arial Cyr"/>
      <family val="0"/>
    </font>
    <font>
      <b/>
      <sz val="12"/>
      <color indexed="8"/>
      <name val="Times New Roman"/>
      <family val="1"/>
    </font>
    <font>
      <i/>
      <sz val="18"/>
      <color indexed="8"/>
      <name val="Times New Roman"/>
      <family val="1"/>
    </font>
    <font>
      <i/>
      <sz val="12"/>
      <color indexed="8"/>
      <name val="Times New Roman"/>
      <family val="1"/>
    </font>
    <font>
      <sz val="11"/>
      <color indexed="8"/>
      <name val="Times New Roman"/>
      <family val="1"/>
    </font>
    <font>
      <i/>
      <sz val="16"/>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theme="1"/>
      <name val="Times New Roman"/>
      <family val="1"/>
    </font>
    <font>
      <sz val="20"/>
      <color theme="1"/>
      <name val="Times New Roman"/>
      <family val="1"/>
    </font>
    <font>
      <sz val="22"/>
      <color theme="1"/>
      <name val="Times New Roman"/>
      <family val="1"/>
    </font>
    <font>
      <sz val="26"/>
      <color theme="1"/>
      <name val="Times New Roman"/>
      <family val="1"/>
    </font>
    <font>
      <b/>
      <sz val="20"/>
      <color theme="1"/>
      <name val="Times New Roman"/>
      <family val="1"/>
    </font>
    <font>
      <sz val="20"/>
      <color theme="1"/>
      <name val="Arial Cyr"/>
      <family val="0"/>
    </font>
    <font>
      <sz val="26"/>
      <color theme="1"/>
      <name val="Arial Cyr"/>
      <family val="0"/>
    </font>
    <font>
      <sz val="14"/>
      <color theme="1"/>
      <name val="Times New Roman"/>
      <family val="1"/>
    </font>
    <font>
      <sz val="16"/>
      <color theme="1"/>
      <name val="Times New Roman"/>
      <family val="1"/>
    </font>
    <font>
      <sz val="12"/>
      <color theme="1"/>
      <name val="Times New Roman"/>
      <family val="1"/>
    </font>
    <font>
      <b/>
      <sz val="14"/>
      <color theme="1"/>
      <name val="Times New Roman"/>
      <family val="1"/>
    </font>
    <font>
      <sz val="18"/>
      <color theme="1"/>
      <name val="Times New Roman"/>
      <family val="1"/>
    </font>
    <font>
      <b/>
      <sz val="18"/>
      <color theme="1"/>
      <name val="Times New Roman"/>
      <family val="1"/>
    </font>
    <font>
      <b/>
      <sz val="16"/>
      <color theme="1"/>
      <name val="Times New Roman"/>
      <family val="1"/>
    </font>
    <font>
      <b/>
      <i/>
      <sz val="14"/>
      <color theme="1"/>
      <name val="Times New Roman"/>
      <family val="1"/>
    </font>
    <font>
      <sz val="16"/>
      <color theme="1"/>
      <name val="Arial Cyr"/>
      <family val="0"/>
    </font>
    <font>
      <b/>
      <sz val="16"/>
      <color theme="1"/>
      <name val="Arial Cyr"/>
      <family val="0"/>
    </font>
    <font>
      <b/>
      <sz val="12"/>
      <color theme="1"/>
      <name val="Times New Roman"/>
      <family val="1"/>
    </font>
    <font>
      <i/>
      <sz val="18"/>
      <color theme="1"/>
      <name val="Times New Roman"/>
      <family val="1"/>
    </font>
    <font>
      <i/>
      <sz val="12"/>
      <color theme="1"/>
      <name val="Times New Roman"/>
      <family val="1"/>
    </font>
    <font>
      <sz val="11"/>
      <color theme="1"/>
      <name val="Times New Roman"/>
      <family val="1"/>
    </font>
    <font>
      <i/>
      <sz val="16"/>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407">
    <xf numFmtId="0" fontId="0" fillId="0" borderId="0" xfId="0" applyAlignment="1">
      <alignment/>
    </xf>
    <xf numFmtId="0" fontId="60" fillId="0" borderId="0" xfId="0" applyFont="1" applyFill="1" applyBorder="1" applyAlignment="1">
      <alignment horizontal="left" wrapText="1"/>
    </xf>
    <xf numFmtId="49" fontId="61" fillId="0" borderId="0" xfId="0" applyNumberFormat="1" applyFont="1" applyFill="1" applyAlignment="1">
      <alignment/>
    </xf>
    <xf numFmtId="0" fontId="61" fillId="0" borderId="0" xfId="0" applyFont="1" applyFill="1" applyAlignment="1">
      <alignment wrapText="1"/>
    </xf>
    <xf numFmtId="189" fontId="61" fillId="0" borderId="0" xfId="0" applyNumberFormat="1" applyFont="1" applyFill="1" applyAlignment="1">
      <alignment wrapText="1"/>
    </xf>
    <xf numFmtId="0" fontId="61" fillId="0" borderId="0" xfId="0" applyFont="1" applyFill="1" applyAlignment="1">
      <alignment/>
    </xf>
    <xf numFmtId="189" fontId="61" fillId="0" borderId="0" xfId="0" applyNumberFormat="1" applyFont="1" applyFill="1" applyAlignment="1">
      <alignment/>
    </xf>
    <xf numFmtId="2" fontId="61" fillId="0" borderId="0" xfId="0" applyNumberFormat="1" applyFont="1" applyFill="1" applyAlignment="1">
      <alignment/>
    </xf>
    <xf numFmtId="2" fontId="61" fillId="0" borderId="0" xfId="0" applyNumberFormat="1" applyFont="1" applyFill="1" applyAlignment="1">
      <alignment/>
    </xf>
    <xf numFmtId="2" fontId="62" fillId="0" borderId="0" xfId="0" applyNumberFormat="1" applyFont="1" applyFill="1" applyAlignment="1">
      <alignment/>
    </xf>
    <xf numFmtId="0" fontId="63" fillId="0" borderId="0" xfId="0" applyFont="1" applyFill="1" applyAlignment="1">
      <alignment/>
    </xf>
    <xf numFmtId="2" fontId="61" fillId="0" borderId="0" xfId="0" applyNumberFormat="1" applyFont="1" applyFill="1" applyAlignment="1">
      <alignment/>
    </xf>
    <xf numFmtId="197" fontId="61" fillId="0" borderId="0" xfId="0" applyNumberFormat="1" applyFont="1" applyFill="1" applyAlignment="1">
      <alignment horizontal="left"/>
    </xf>
    <xf numFmtId="4" fontId="61" fillId="0" borderId="0" xfId="0" applyNumberFormat="1" applyFont="1" applyFill="1" applyAlignment="1">
      <alignment/>
    </xf>
    <xf numFmtId="2" fontId="62" fillId="0" borderId="0" xfId="0" applyNumberFormat="1" applyFont="1" applyFill="1" applyAlignment="1">
      <alignment horizontal="left"/>
    </xf>
    <xf numFmtId="2" fontId="61" fillId="0" borderId="0" xfId="0" applyNumberFormat="1" applyFont="1" applyFill="1" applyAlignment="1">
      <alignment horizontal="left"/>
    </xf>
    <xf numFmtId="49" fontId="61" fillId="0" borderId="0" xfId="0" applyNumberFormat="1" applyFont="1" applyFill="1" applyAlignment="1">
      <alignment horizontal="right"/>
    </xf>
    <xf numFmtId="0" fontId="61" fillId="0" borderId="0" xfId="0" applyFont="1" applyFill="1" applyAlignment="1">
      <alignment horizontal="right" wrapText="1"/>
    </xf>
    <xf numFmtId="189" fontId="61" fillId="0" borderId="0" xfId="0" applyNumberFormat="1" applyFont="1" applyFill="1" applyAlignment="1">
      <alignment horizontal="right" wrapText="1"/>
    </xf>
    <xf numFmtId="0" fontId="61" fillId="0" borderId="0" xfId="0" applyFont="1" applyFill="1" applyAlignment="1">
      <alignment/>
    </xf>
    <xf numFmtId="0" fontId="61" fillId="0" borderId="0" xfId="0" applyFont="1" applyFill="1" applyAlignment="1">
      <alignment horizontal="right"/>
    </xf>
    <xf numFmtId="189" fontId="61" fillId="0" borderId="0" xfId="0" applyNumberFormat="1" applyFont="1" applyFill="1" applyAlignment="1">
      <alignment horizontal="right"/>
    </xf>
    <xf numFmtId="0" fontId="64" fillId="0" borderId="0" xfId="0" applyFont="1" applyFill="1" applyAlignment="1">
      <alignment horizontal="left"/>
    </xf>
    <xf numFmtId="0" fontId="64" fillId="0" borderId="0" xfId="0" applyFont="1" applyFill="1" applyAlignment="1">
      <alignment horizontal="center"/>
    </xf>
    <xf numFmtId="4" fontId="65" fillId="0" borderId="0" xfId="0" applyNumberFormat="1" applyFont="1" applyFill="1" applyAlignment="1">
      <alignment wrapText="1"/>
    </xf>
    <xf numFmtId="197" fontId="66" fillId="0" borderId="0" xfId="0" applyNumberFormat="1" applyFont="1" applyFill="1" applyAlignment="1">
      <alignment horizontal="left" wrapText="1"/>
    </xf>
    <xf numFmtId="0" fontId="66" fillId="0" borderId="0" xfId="0" applyFont="1" applyFill="1" applyAlignment="1">
      <alignment wrapText="1"/>
    </xf>
    <xf numFmtId="0" fontId="62" fillId="0" borderId="0" xfId="0" applyFont="1" applyFill="1" applyAlignment="1">
      <alignment horizontal="center"/>
    </xf>
    <xf numFmtId="0" fontId="63" fillId="0" borderId="0" xfId="0" applyFont="1" applyFill="1" applyAlignment="1">
      <alignment horizontal="left"/>
    </xf>
    <xf numFmtId="0" fontId="63" fillId="0" borderId="0" xfId="0" applyFont="1" applyFill="1" applyAlignment="1">
      <alignment horizontal="center"/>
    </xf>
    <xf numFmtId="0" fontId="67" fillId="0" borderId="0" xfId="0" applyFont="1" applyFill="1" applyAlignment="1">
      <alignment horizontal="center"/>
    </xf>
    <xf numFmtId="2" fontId="67" fillId="0" borderId="0" xfId="0" applyNumberFormat="1" applyFont="1" applyFill="1" applyAlignment="1">
      <alignment horizontal="center"/>
    </xf>
    <xf numFmtId="4" fontId="67" fillId="0" borderId="0" xfId="0" applyNumberFormat="1" applyFont="1" applyFill="1" applyAlignment="1">
      <alignment/>
    </xf>
    <xf numFmtId="49" fontId="67" fillId="0" borderId="0" xfId="0" applyNumberFormat="1" applyFont="1" applyFill="1" applyAlignment="1">
      <alignment/>
    </xf>
    <xf numFmtId="49" fontId="67" fillId="0" borderId="10" xfId="0" applyNumberFormat="1" applyFont="1" applyFill="1" applyBorder="1" applyAlignment="1">
      <alignment horizontal="center" vertical="center" wrapText="1"/>
    </xf>
    <xf numFmtId="197" fontId="68" fillId="0" borderId="11" xfId="0" applyNumberFormat="1" applyFont="1" applyFill="1" applyBorder="1" applyAlignment="1">
      <alignment horizontal="center"/>
    </xf>
    <xf numFmtId="197" fontId="68" fillId="0" borderId="12" xfId="0" applyNumberFormat="1" applyFont="1" applyFill="1" applyBorder="1" applyAlignment="1">
      <alignment horizontal="center"/>
    </xf>
    <xf numFmtId="197" fontId="68" fillId="0" borderId="13" xfId="0" applyNumberFormat="1" applyFont="1" applyFill="1" applyBorder="1" applyAlignment="1">
      <alignment horizontal="center"/>
    </xf>
    <xf numFmtId="197" fontId="69" fillId="0" borderId="0" xfId="0" applyNumberFormat="1" applyFont="1" applyFill="1" applyAlignment="1">
      <alignment horizontal="left"/>
    </xf>
    <xf numFmtId="0" fontId="69" fillId="0" borderId="0" xfId="0" applyFont="1" applyFill="1" applyAlignment="1">
      <alignment/>
    </xf>
    <xf numFmtId="49" fontId="67" fillId="0" borderId="14" xfId="0" applyNumberFormat="1" applyFont="1" applyFill="1" applyBorder="1" applyAlignment="1">
      <alignment horizontal="center" vertical="center" wrapText="1"/>
    </xf>
    <xf numFmtId="0" fontId="70" fillId="0" borderId="10" xfId="0" applyFont="1" applyFill="1" applyBorder="1" applyAlignment="1">
      <alignment horizontal="center" wrapText="1"/>
    </xf>
    <xf numFmtId="189" fontId="67" fillId="0" borderId="15" xfId="0" applyNumberFormat="1" applyFont="1" applyFill="1" applyBorder="1" applyAlignment="1">
      <alignment horizontal="center" vertical="center" wrapText="1"/>
    </xf>
    <xf numFmtId="0" fontId="67" fillId="0" borderId="16" xfId="0" applyFont="1" applyFill="1" applyBorder="1" applyAlignment="1">
      <alignment horizontal="center" vertical="center" wrapText="1"/>
    </xf>
    <xf numFmtId="189" fontId="67" fillId="0" borderId="16" xfId="0" applyNumberFormat="1" applyFont="1" applyFill="1" applyBorder="1" applyAlignment="1">
      <alignment horizontal="center" vertical="center" wrapText="1"/>
    </xf>
    <xf numFmtId="2" fontId="67" fillId="0" borderId="16" xfId="0" applyNumberFormat="1" applyFont="1" applyFill="1" applyBorder="1" applyAlignment="1">
      <alignment horizontal="center" vertical="center" wrapText="1"/>
    </xf>
    <xf numFmtId="0" fontId="70" fillId="0" borderId="16" xfId="0" applyFont="1" applyFill="1" applyBorder="1" applyAlignment="1">
      <alignment wrapText="1"/>
    </xf>
    <xf numFmtId="0" fontId="67" fillId="0" borderId="17" xfId="0" applyFont="1" applyFill="1" applyBorder="1" applyAlignment="1">
      <alignment horizontal="center" vertical="center" wrapText="1"/>
    </xf>
    <xf numFmtId="2" fontId="67" fillId="0" borderId="16" xfId="0" applyNumberFormat="1" applyFont="1" applyFill="1" applyBorder="1" applyAlignment="1">
      <alignment horizontal="center" wrapText="1"/>
    </xf>
    <xf numFmtId="2" fontId="67" fillId="0" borderId="17" xfId="0" applyNumberFormat="1" applyFont="1" applyFill="1" applyBorder="1" applyAlignment="1">
      <alignment horizontal="center" vertical="center" wrapText="1"/>
    </xf>
    <xf numFmtId="2" fontId="70" fillId="0" borderId="16" xfId="0" applyNumberFormat="1" applyFont="1" applyFill="1" applyBorder="1" applyAlignment="1">
      <alignment wrapText="1"/>
    </xf>
    <xf numFmtId="0" fontId="67" fillId="0" borderId="10" xfId="0"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49" fontId="67" fillId="0" borderId="18"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189" fontId="67" fillId="0" borderId="13" xfId="0" applyNumberFormat="1" applyFont="1" applyFill="1" applyBorder="1" applyAlignment="1">
      <alignment horizontal="center" vertical="center" wrapText="1"/>
    </xf>
    <xf numFmtId="189" fontId="67" fillId="0" borderId="10" xfId="0" applyNumberFormat="1" applyFont="1" applyFill="1" applyBorder="1" applyAlignment="1">
      <alignment horizontal="center" vertical="center" wrapText="1"/>
    </xf>
    <xf numFmtId="2"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2" fontId="67" fillId="0" borderId="17" xfId="0" applyNumberFormat="1" applyFont="1" applyFill="1" applyBorder="1" applyAlignment="1">
      <alignment horizontal="center" wrapText="1"/>
    </xf>
    <xf numFmtId="2" fontId="67" fillId="0" borderId="10" xfId="0" applyNumberFormat="1" applyFont="1" applyFill="1" applyBorder="1" applyAlignment="1">
      <alignment horizontal="center" wrapText="1"/>
    </xf>
    <xf numFmtId="2" fontId="67" fillId="0" borderId="10" xfId="0" applyNumberFormat="1" applyFont="1" applyFill="1" applyBorder="1" applyAlignment="1">
      <alignment horizontal="center" vertical="center" wrapText="1"/>
    </xf>
    <xf numFmtId="197" fontId="67" fillId="0" borderId="0" xfId="0" applyNumberFormat="1" applyFont="1" applyFill="1" applyBorder="1" applyAlignment="1">
      <alignment horizontal="left" vertical="center" wrapText="1"/>
    </xf>
    <xf numFmtId="0" fontId="67" fillId="0" borderId="0" xfId="0" applyFont="1" applyFill="1" applyBorder="1" applyAlignment="1">
      <alignment horizontal="center" vertical="center" wrapText="1"/>
    </xf>
    <xf numFmtId="0" fontId="67" fillId="0" borderId="0" xfId="0" applyFont="1" applyFill="1" applyAlignment="1">
      <alignment/>
    </xf>
    <xf numFmtId="49" fontId="70" fillId="0" borderId="11" xfId="0" applyNumberFormat="1" applyFont="1" applyFill="1" applyBorder="1" applyAlignment="1">
      <alignment horizontal="center"/>
    </xf>
    <xf numFmtId="0" fontId="70" fillId="0" borderId="10" xfId="0" applyFont="1" applyFill="1" applyBorder="1" applyAlignment="1">
      <alignment vertical="center" wrapText="1"/>
    </xf>
    <xf numFmtId="0" fontId="70" fillId="0" borderId="13" xfId="0" applyFont="1" applyFill="1" applyBorder="1" applyAlignment="1">
      <alignment horizontal="center"/>
    </xf>
    <xf numFmtId="0" fontId="70" fillId="0" borderId="10" xfId="0" applyFont="1" applyFill="1" applyBorder="1" applyAlignment="1">
      <alignment horizontal="center"/>
    </xf>
    <xf numFmtId="1" fontId="70" fillId="0" borderId="10" xfId="0" applyNumberFormat="1" applyFont="1" applyFill="1" applyBorder="1" applyAlignment="1">
      <alignment horizontal="center"/>
    </xf>
    <xf numFmtId="2" fontId="70" fillId="0" borderId="10" xfId="0" applyNumberFormat="1" applyFont="1" applyFill="1" applyBorder="1" applyAlignment="1">
      <alignment horizontal="center"/>
    </xf>
    <xf numFmtId="0" fontId="70" fillId="0" borderId="11" xfId="0" applyFont="1" applyFill="1" applyBorder="1" applyAlignment="1">
      <alignment horizontal="center"/>
    </xf>
    <xf numFmtId="0" fontId="70" fillId="0" borderId="18" xfId="0" applyFont="1" applyFill="1" applyBorder="1" applyAlignment="1">
      <alignment horizontal="center"/>
    </xf>
    <xf numFmtId="197" fontId="71" fillId="0" borderId="0" xfId="0" applyNumberFormat="1" applyFont="1" applyFill="1" applyBorder="1" applyAlignment="1">
      <alignment horizontal="left" vertical="center" wrapText="1"/>
    </xf>
    <xf numFmtId="0" fontId="71" fillId="0" borderId="0" xfId="0" applyFont="1" applyFill="1" applyBorder="1" applyAlignment="1">
      <alignment horizontal="center" vertical="center" wrapText="1"/>
    </xf>
    <xf numFmtId="0" fontId="72" fillId="0" borderId="0" xfId="0" applyFont="1" applyFill="1" applyAlignment="1">
      <alignment/>
    </xf>
    <xf numFmtId="49" fontId="67" fillId="0" borderId="0" xfId="0" applyNumberFormat="1" applyFont="1" applyFill="1" applyBorder="1" applyAlignment="1">
      <alignment horizontal="center" wrapText="1"/>
    </xf>
    <xf numFmtId="49" fontId="70" fillId="0" borderId="0" xfId="0" applyNumberFormat="1" applyFont="1" applyFill="1" applyBorder="1" applyAlignment="1">
      <alignment horizontal="center"/>
    </xf>
    <xf numFmtId="0" fontId="70" fillId="0" borderId="0" xfId="0" applyFont="1" applyFill="1" applyBorder="1" applyAlignment="1">
      <alignment horizontal="left" wrapText="1"/>
    </xf>
    <xf numFmtId="0" fontId="70" fillId="0" borderId="0" xfId="0" applyFont="1" applyFill="1" applyBorder="1" applyAlignment="1">
      <alignment horizontal="center"/>
    </xf>
    <xf numFmtId="2" fontId="67" fillId="0" borderId="0" xfId="0" applyNumberFormat="1" applyFont="1" applyFill="1" applyAlignment="1">
      <alignment/>
    </xf>
    <xf numFmtId="2" fontId="67" fillId="0" borderId="0" xfId="0" applyNumberFormat="1" applyFont="1" applyFill="1" applyAlignment="1">
      <alignment/>
    </xf>
    <xf numFmtId="2" fontId="67" fillId="0" borderId="0" xfId="0" applyNumberFormat="1" applyFont="1" applyFill="1" applyBorder="1" applyAlignment="1">
      <alignment/>
    </xf>
    <xf numFmtId="2" fontId="70" fillId="0" borderId="0" xfId="0" applyNumberFormat="1" applyFont="1" applyFill="1" applyBorder="1" applyAlignment="1">
      <alignment/>
    </xf>
    <xf numFmtId="2" fontId="70" fillId="0" borderId="0" xfId="0" applyNumberFormat="1" applyFont="1" applyFill="1" applyAlignment="1">
      <alignment/>
    </xf>
    <xf numFmtId="4" fontId="70" fillId="0" borderId="0" xfId="0" applyNumberFormat="1" applyFont="1" applyFill="1" applyAlignment="1">
      <alignment horizontal="right" vertical="center"/>
    </xf>
    <xf numFmtId="197" fontId="73" fillId="0" borderId="0" xfId="0" applyNumberFormat="1" applyFont="1" applyFill="1" applyAlignment="1">
      <alignment horizontal="right" vertical="center"/>
    </xf>
    <xf numFmtId="197" fontId="67" fillId="0" borderId="0" xfId="0" applyNumberFormat="1" applyFont="1" applyFill="1" applyBorder="1" applyAlignment="1">
      <alignment horizontal="left" vertical="center"/>
    </xf>
    <xf numFmtId="189" fontId="68" fillId="0" borderId="0" xfId="0" applyNumberFormat="1" applyFont="1" applyFill="1" applyBorder="1" applyAlignment="1">
      <alignment/>
    </xf>
    <xf numFmtId="189" fontId="67" fillId="0" borderId="0" xfId="0" applyNumberFormat="1" applyFont="1" applyFill="1" applyBorder="1" applyAlignment="1">
      <alignment/>
    </xf>
    <xf numFmtId="189" fontId="70" fillId="0" borderId="0" xfId="0" applyNumberFormat="1" applyFont="1" applyFill="1" applyBorder="1" applyAlignment="1">
      <alignment/>
    </xf>
    <xf numFmtId="189" fontId="67" fillId="0" borderId="0" xfId="0" applyNumberFormat="1" applyFont="1" applyFill="1" applyAlignment="1">
      <alignment/>
    </xf>
    <xf numFmtId="189" fontId="70" fillId="0" borderId="0" xfId="0" applyNumberFormat="1" applyFont="1" applyFill="1" applyAlignment="1">
      <alignment/>
    </xf>
    <xf numFmtId="49" fontId="74" fillId="0" borderId="0" xfId="0" applyNumberFormat="1" applyFont="1" applyFill="1" applyBorder="1" applyAlignment="1">
      <alignment horizontal="center"/>
    </xf>
    <xf numFmtId="197" fontId="67" fillId="0" borderId="0" xfId="0" applyNumberFormat="1" applyFont="1" applyFill="1" applyAlignment="1">
      <alignment/>
    </xf>
    <xf numFmtId="2" fontId="67" fillId="0" borderId="0" xfId="0" applyNumberFormat="1" applyFont="1" applyFill="1" applyAlignment="1">
      <alignment horizontal="right"/>
    </xf>
    <xf numFmtId="4" fontId="70" fillId="0" borderId="0" xfId="0" applyNumberFormat="1" applyFont="1" applyFill="1" applyBorder="1" applyAlignment="1">
      <alignment horizontal="right" vertical="center"/>
    </xf>
    <xf numFmtId="197" fontId="70" fillId="0" borderId="0" xfId="0" applyNumberFormat="1" applyFont="1" applyFill="1" applyAlignment="1">
      <alignment horizontal="right" vertical="center"/>
    </xf>
    <xf numFmtId="197" fontId="70" fillId="0" borderId="0" xfId="0" applyNumberFormat="1" applyFont="1" applyFill="1" applyBorder="1" applyAlignment="1">
      <alignment horizontal="left" vertical="center"/>
    </xf>
    <xf numFmtId="1" fontId="68" fillId="0" borderId="0" xfId="0" applyNumberFormat="1" applyFont="1" applyFill="1" applyBorder="1" applyAlignment="1">
      <alignment/>
    </xf>
    <xf numFmtId="0" fontId="75" fillId="0" borderId="0" xfId="0" applyFont="1" applyFill="1" applyAlignment="1">
      <alignment/>
    </xf>
    <xf numFmtId="49" fontId="67" fillId="0" borderId="0" xfId="0" applyNumberFormat="1" applyFont="1" applyFill="1" applyBorder="1" applyAlignment="1">
      <alignment horizontal="center"/>
    </xf>
    <xf numFmtId="0" fontId="67" fillId="0" borderId="0" xfId="0" applyFont="1" applyFill="1" applyBorder="1" applyAlignment="1">
      <alignment wrapText="1"/>
    </xf>
    <xf numFmtId="3" fontId="67" fillId="0" borderId="0" xfId="0" applyNumberFormat="1" applyFont="1" applyFill="1" applyAlignment="1">
      <alignment/>
    </xf>
    <xf numFmtId="4" fontId="70" fillId="0" borderId="0" xfId="0" applyNumberFormat="1" applyFont="1" applyFill="1" applyAlignment="1">
      <alignment/>
    </xf>
    <xf numFmtId="197" fontId="67" fillId="0" borderId="0" xfId="0" applyNumberFormat="1" applyFont="1" applyFill="1" applyAlignment="1">
      <alignment horizontal="right" vertical="center"/>
    </xf>
    <xf numFmtId="197" fontId="67" fillId="0" borderId="0" xfId="0" applyNumberFormat="1" applyFont="1" applyFill="1" applyBorder="1" applyAlignment="1">
      <alignment horizontal="center" vertical="center"/>
    </xf>
    <xf numFmtId="49" fontId="60" fillId="0" borderId="0" xfId="0" applyNumberFormat="1" applyFont="1" applyFill="1" applyBorder="1" applyAlignment="1">
      <alignment horizontal="center"/>
    </xf>
    <xf numFmtId="0" fontId="60" fillId="0" borderId="0" xfId="0" applyFont="1" applyFill="1" applyBorder="1" applyAlignment="1">
      <alignment wrapText="1"/>
    </xf>
    <xf numFmtId="4" fontId="67" fillId="0" borderId="0" xfId="0" applyNumberFormat="1" applyFont="1" applyFill="1" applyAlignment="1">
      <alignment horizontal="right"/>
    </xf>
    <xf numFmtId="3" fontId="67" fillId="0" borderId="0" xfId="0" applyNumberFormat="1" applyFont="1" applyFill="1" applyAlignment="1">
      <alignment horizontal="right"/>
    </xf>
    <xf numFmtId="210" fontId="67" fillId="0" borderId="0" xfId="0" applyNumberFormat="1" applyFont="1" applyFill="1" applyAlignment="1">
      <alignment horizontal="left" vertical="center"/>
    </xf>
    <xf numFmtId="210" fontId="68" fillId="0" borderId="0" xfId="0" applyNumberFormat="1" applyFont="1" applyFill="1" applyAlignment="1">
      <alignment horizontal="left" vertical="center"/>
    </xf>
    <xf numFmtId="210" fontId="68" fillId="0" borderId="0" xfId="0" applyNumberFormat="1" applyFont="1" applyFill="1" applyAlignment="1">
      <alignment horizontal="left" vertical="center" wrapText="1"/>
    </xf>
    <xf numFmtId="210" fontId="67" fillId="0" borderId="0" xfId="0" applyNumberFormat="1" applyFont="1" applyFill="1" applyAlignment="1">
      <alignment horizontal="left" vertical="center" wrapText="1"/>
    </xf>
    <xf numFmtId="197" fontId="67" fillId="0" borderId="0" xfId="0" applyNumberFormat="1" applyFont="1" applyFill="1" applyAlignment="1">
      <alignment horizontal="left" vertical="center"/>
    </xf>
    <xf numFmtId="0" fontId="67" fillId="0" borderId="0" xfId="0" applyFont="1" applyFill="1" applyBorder="1" applyAlignment="1">
      <alignment horizontal="left" wrapText="1"/>
    </xf>
    <xf numFmtId="0" fontId="67" fillId="0" borderId="0" xfId="0" applyFont="1" applyFill="1" applyAlignment="1">
      <alignment wrapText="1"/>
    </xf>
    <xf numFmtId="0" fontId="60" fillId="0" borderId="0" xfId="0" applyFont="1" applyFill="1" applyAlignment="1">
      <alignment wrapText="1"/>
    </xf>
    <xf numFmtId="197" fontId="68" fillId="0" borderId="0" xfId="0" applyNumberFormat="1" applyFont="1" applyFill="1" applyAlignment="1">
      <alignment horizontal="left" vertical="center"/>
    </xf>
    <xf numFmtId="3" fontId="67" fillId="0" borderId="0" xfId="0" applyNumberFormat="1" applyFont="1" applyFill="1" applyAlignment="1">
      <alignment horizontal="right" wrapText="1"/>
    </xf>
    <xf numFmtId="2" fontId="67" fillId="0" borderId="0" xfId="0" applyNumberFormat="1" applyFont="1" applyFill="1" applyAlignment="1">
      <alignment horizontal="right" wrapText="1"/>
    </xf>
    <xf numFmtId="3" fontId="67" fillId="0" borderId="0" xfId="0" applyNumberFormat="1" applyFont="1" applyFill="1" applyAlignment="1">
      <alignment horizontal="left" wrapText="1"/>
    </xf>
    <xf numFmtId="197" fontId="67" fillId="0" borderId="0" xfId="0" applyNumberFormat="1" applyFont="1" applyFill="1" applyAlignment="1">
      <alignment horizontal="left"/>
    </xf>
    <xf numFmtId="1" fontId="69" fillId="0" borderId="0" xfId="0" applyNumberFormat="1" applyFont="1" applyFill="1" applyBorder="1" applyAlignment="1">
      <alignment/>
    </xf>
    <xf numFmtId="1" fontId="67" fillId="0" borderId="0" xfId="0" applyNumberFormat="1" applyFont="1" applyFill="1" applyBorder="1" applyAlignment="1">
      <alignment/>
    </xf>
    <xf numFmtId="197" fontId="67" fillId="0" borderId="0" xfId="0" applyNumberFormat="1" applyFont="1" applyFill="1" applyBorder="1" applyAlignment="1">
      <alignment/>
    </xf>
    <xf numFmtId="0" fontId="69" fillId="0" borderId="0" xfId="0" applyFont="1" applyFill="1" applyBorder="1" applyAlignment="1">
      <alignment/>
    </xf>
    <xf numFmtId="197" fontId="70" fillId="0" borderId="0" xfId="0" applyNumberFormat="1" applyFont="1" applyFill="1" applyAlignment="1">
      <alignment horizontal="left"/>
    </xf>
    <xf numFmtId="1" fontId="67" fillId="0" borderId="0" xfId="0" applyNumberFormat="1" applyFont="1" applyFill="1" applyBorder="1" applyAlignment="1">
      <alignment horizontal="left" wrapText="1"/>
    </xf>
    <xf numFmtId="3" fontId="67" fillId="0" borderId="0" xfId="0" applyNumberFormat="1" applyFont="1" applyFill="1" applyAlignment="1">
      <alignment horizontal="center" wrapText="1"/>
    </xf>
    <xf numFmtId="2" fontId="67" fillId="0" borderId="0" xfId="0" applyNumberFormat="1" applyFont="1" applyFill="1" applyAlignment="1">
      <alignment horizontal="center" wrapText="1"/>
    </xf>
    <xf numFmtId="3" fontId="67" fillId="0" borderId="0" xfId="0" applyNumberFormat="1" applyFont="1" applyFill="1" applyAlignment="1">
      <alignment horizontal="center"/>
    </xf>
    <xf numFmtId="197" fontId="68" fillId="0" borderId="0" xfId="0" applyNumberFormat="1" applyFont="1" applyFill="1" applyAlignment="1">
      <alignment horizontal="left"/>
    </xf>
    <xf numFmtId="0" fontId="70" fillId="0" borderId="0" xfId="0" applyFont="1" applyFill="1" applyBorder="1" applyAlignment="1">
      <alignment wrapText="1"/>
    </xf>
    <xf numFmtId="3" fontId="70" fillId="0" borderId="0" xfId="0" applyNumberFormat="1" applyFont="1" applyFill="1" applyAlignment="1">
      <alignment horizontal="center" wrapText="1"/>
    </xf>
    <xf numFmtId="49" fontId="70" fillId="0" borderId="0" xfId="0" applyNumberFormat="1" applyFont="1" applyFill="1" applyBorder="1" applyAlignment="1">
      <alignment horizontal="center" wrapText="1"/>
    </xf>
    <xf numFmtId="3" fontId="67" fillId="0" borderId="0" xfId="0" applyNumberFormat="1" applyFont="1" applyFill="1" applyAlignment="1">
      <alignment horizontal="left"/>
    </xf>
    <xf numFmtId="197" fontId="68" fillId="0" borderId="0" xfId="0" applyNumberFormat="1" applyFont="1" applyFill="1" applyAlignment="1">
      <alignment horizontal="left"/>
    </xf>
    <xf numFmtId="4" fontId="67" fillId="0" borderId="0" xfId="0" applyNumberFormat="1" applyFont="1" applyFill="1" applyAlignment="1">
      <alignment horizontal="right" wrapText="1"/>
    </xf>
    <xf numFmtId="49" fontId="60" fillId="0" borderId="0" xfId="0" applyNumberFormat="1" applyFont="1" applyFill="1" applyBorder="1" applyAlignment="1">
      <alignment horizontal="center" wrapText="1"/>
    </xf>
    <xf numFmtId="197" fontId="67" fillId="0" borderId="0" xfId="0" applyNumberFormat="1" applyFont="1" applyFill="1" applyAlignment="1">
      <alignment horizontal="left" wrapText="1"/>
    </xf>
    <xf numFmtId="49" fontId="60" fillId="0" borderId="0" xfId="0" applyNumberFormat="1" applyFont="1" applyFill="1" applyBorder="1" applyAlignment="1">
      <alignment horizontal="left" wrapText="1"/>
    </xf>
    <xf numFmtId="2" fontId="69" fillId="0" borderId="0" xfId="0" applyNumberFormat="1" applyFont="1" applyFill="1" applyBorder="1" applyAlignment="1">
      <alignment/>
    </xf>
    <xf numFmtId="4" fontId="67" fillId="0" borderId="0" xfId="0" applyNumberFormat="1" applyFont="1" applyFill="1" applyAlignment="1">
      <alignment horizontal="left" wrapText="1"/>
    </xf>
    <xf numFmtId="212" fontId="67" fillId="0" borderId="0" xfId="0" applyNumberFormat="1" applyFont="1" applyFill="1" applyAlignment="1">
      <alignment horizontal="right" wrapText="1"/>
    </xf>
    <xf numFmtId="197" fontId="70" fillId="0" borderId="0" xfId="0" applyNumberFormat="1" applyFont="1" applyFill="1" applyAlignment="1">
      <alignment horizontal="left" wrapText="1"/>
    </xf>
    <xf numFmtId="191" fontId="69" fillId="0" borderId="0" xfId="0" applyNumberFormat="1" applyFont="1" applyFill="1" applyBorder="1" applyAlignment="1">
      <alignment/>
    </xf>
    <xf numFmtId="3" fontId="67" fillId="0" borderId="0" xfId="60" applyNumberFormat="1" applyFont="1" applyFill="1" applyAlignment="1">
      <alignment horizontal="right"/>
    </xf>
    <xf numFmtId="4" fontId="70" fillId="0" borderId="0" xfId="60" applyNumberFormat="1" applyFont="1" applyFill="1" applyAlignment="1">
      <alignment horizontal="right"/>
    </xf>
    <xf numFmtId="0" fontId="67" fillId="0" borderId="0" xfId="0" applyFont="1" applyFill="1" applyBorder="1" applyAlignment="1">
      <alignment/>
    </xf>
    <xf numFmtId="3" fontId="67" fillId="0" borderId="0" xfId="0" applyNumberFormat="1" applyFont="1" applyFill="1" applyBorder="1" applyAlignment="1">
      <alignment/>
    </xf>
    <xf numFmtId="3" fontId="67" fillId="0" borderId="0" xfId="0" applyNumberFormat="1" applyFont="1" applyFill="1" applyBorder="1" applyAlignment="1">
      <alignment horizontal="right"/>
    </xf>
    <xf numFmtId="2" fontId="67" fillId="0" borderId="0" xfId="0" applyNumberFormat="1" applyFont="1" applyFill="1" applyBorder="1" applyAlignment="1">
      <alignment horizontal="right"/>
    </xf>
    <xf numFmtId="4" fontId="67" fillId="0" borderId="0" xfId="0" applyNumberFormat="1" applyFont="1" applyFill="1" applyBorder="1" applyAlignment="1">
      <alignment horizontal="right"/>
    </xf>
    <xf numFmtId="197" fontId="68" fillId="0" borderId="0" xfId="0" applyNumberFormat="1" applyFont="1" applyFill="1" applyBorder="1" applyAlignment="1">
      <alignment horizontal="left"/>
    </xf>
    <xf numFmtId="0" fontId="75" fillId="0" borderId="0" xfId="0" applyFont="1" applyFill="1" applyBorder="1" applyAlignment="1">
      <alignment/>
    </xf>
    <xf numFmtId="4" fontId="70" fillId="0" borderId="0" xfId="0" applyNumberFormat="1" applyFont="1" applyFill="1" applyBorder="1" applyAlignment="1">
      <alignment/>
    </xf>
    <xf numFmtId="197" fontId="61" fillId="0" borderId="0" xfId="0" applyNumberFormat="1" applyFont="1" applyFill="1" applyBorder="1" applyAlignment="1">
      <alignment horizontal="left"/>
    </xf>
    <xf numFmtId="197" fontId="73" fillId="0" borderId="0" xfId="0" applyNumberFormat="1" applyFont="1" applyFill="1" applyBorder="1" applyAlignment="1">
      <alignment horizontal="right"/>
    </xf>
    <xf numFmtId="197" fontId="73" fillId="0" borderId="0" xfId="0" applyNumberFormat="1" applyFont="1" applyFill="1" applyBorder="1" applyAlignment="1">
      <alignment/>
    </xf>
    <xf numFmtId="189" fontId="71" fillId="0" borderId="0" xfId="0" applyNumberFormat="1" applyFont="1" applyFill="1" applyBorder="1" applyAlignment="1">
      <alignment/>
    </xf>
    <xf numFmtId="197" fontId="69" fillId="0" borderId="0" xfId="0" applyNumberFormat="1" applyFont="1" applyFill="1" applyAlignment="1">
      <alignment/>
    </xf>
    <xf numFmtId="49" fontId="67" fillId="0" borderId="0" xfId="0" applyNumberFormat="1" applyFont="1" applyFill="1" applyBorder="1" applyAlignment="1">
      <alignment wrapText="1"/>
    </xf>
    <xf numFmtId="49" fontId="60" fillId="0" borderId="0" xfId="0" applyNumberFormat="1" applyFont="1" applyFill="1" applyBorder="1" applyAlignment="1">
      <alignment wrapText="1"/>
    </xf>
    <xf numFmtId="0" fontId="67" fillId="0" borderId="0" xfId="0" applyFont="1" applyFill="1" applyAlignment="1">
      <alignment/>
    </xf>
    <xf numFmtId="1" fontId="70" fillId="0" borderId="0" xfId="0" applyNumberFormat="1" applyFont="1" applyFill="1" applyBorder="1" applyAlignment="1">
      <alignment horizontal="left" wrapText="1"/>
    </xf>
    <xf numFmtId="3" fontId="70" fillId="0" borderId="0" xfId="0" applyNumberFormat="1" applyFont="1" applyFill="1" applyAlignment="1">
      <alignment/>
    </xf>
    <xf numFmtId="3" fontId="70" fillId="0" borderId="0" xfId="0" applyNumberFormat="1" applyFont="1" applyFill="1" applyAlignment="1">
      <alignment horizontal="right"/>
    </xf>
    <xf numFmtId="197" fontId="70" fillId="0" borderId="0" xfId="0" applyNumberFormat="1" applyFont="1" applyFill="1" applyAlignment="1">
      <alignment horizontal="left"/>
    </xf>
    <xf numFmtId="197" fontId="69" fillId="0" borderId="0" xfId="0" applyNumberFormat="1" applyFont="1" applyFill="1" applyBorder="1" applyAlignment="1">
      <alignment/>
    </xf>
    <xf numFmtId="0" fontId="76" fillId="0" borderId="0" xfId="0" applyFont="1" applyFill="1" applyAlignment="1">
      <alignment/>
    </xf>
    <xf numFmtId="3" fontId="67" fillId="0" borderId="0" xfId="0" applyNumberFormat="1" applyFont="1" applyFill="1" applyAlignment="1">
      <alignment/>
    </xf>
    <xf numFmtId="3" fontId="67" fillId="0" borderId="0" xfId="0" applyNumberFormat="1" applyFont="1" applyFill="1" applyAlignment="1">
      <alignment horizontal="right"/>
    </xf>
    <xf numFmtId="2" fontId="67" fillId="0" borderId="0" xfId="0" applyNumberFormat="1" applyFont="1" applyFill="1" applyAlignment="1">
      <alignment horizontal="right"/>
    </xf>
    <xf numFmtId="3" fontId="60" fillId="0" borderId="0" xfId="0" applyNumberFormat="1" applyFont="1" applyFill="1" applyAlignment="1">
      <alignment/>
    </xf>
    <xf numFmtId="197" fontId="64" fillId="0" borderId="0" xfId="0" applyNumberFormat="1" applyFont="1" applyFill="1" applyAlignment="1">
      <alignment horizontal="left"/>
    </xf>
    <xf numFmtId="3" fontId="70" fillId="0" borderId="0" xfId="0" applyNumberFormat="1" applyFont="1" applyFill="1" applyAlignment="1">
      <alignment/>
    </xf>
    <xf numFmtId="1" fontId="67" fillId="0" borderId="0" xfId="0" applyNumberFormat="1" applyFont="1" applyFill="1" applyBorder="1" applyAlignment="1">
      <alignment wrapText="1"/>
    </xf>
    <xf numFmtId="1" fontId="67" fillId="0" borderId="0" xfId="0" applyNumberFormat="1" applyFont="1" applyFill="1" applyAlignment="1">
      <alignment horizontal="right"/>
    </xf>
    <xf numFmtId="2" fontId="61" fillId="0" borderId="0" xfId="0" applyNumberFormat="1" applyFont="1" applyFill="1" applyAlignment="1">
      <alignment horizontal="left"/>
    </xf>
    <xf numFmtId="0" fontId="60" fillId="0" borderId="0" xfId="0" applyFont="1" applyFill="1" applyAlignment="1">
      <alignment horizontal="left" wrapText="1"/>
    </xf>
    <xf numFmtId="1" fontId="67" fillId="0" borderId="0" xfId="0" applyNumberFormat="1" applyFont="1" applyFill="1" applyAlignment="1">
      <alignment/>
    </xf>
    <xf numFmtId="212" fontId="67" fillId="0" borderId="0" xfId="0" applyNumberFormat="1" applyFont="1" applyFill="1" applyAlignment="1">
      <alignment/>
    </xf>
    <xf numFmtId="212" fontId="67" fillId="0" borderId="0" xfId="0" applyNumberFormat="1" applyFont="1" applyFill="1" applyAlignment="1">
      <alignment horizontal="right"/>
    </xf>
    <xf numFmtId="49" fontId="67" fillId="0" borderId="0" xfId="0" applyNumberFormat="1" applyFont="1" applyFill="1" applyAlignment="1">
      <alignment horizontal="center" vertical="top" wrapText="1"/>
    </xf>
    <xf numFmtId="0" fontId="67" fillId="0" borderId="0" xfId="0" applyFont="1" applyFill="1" applyAlignment="1">
      <alignment horizontal="left" wrapText="1"/>
    </xf>
    <xf numFmtId="4" fontId="70" fillId="0" borderId="0" xfId="0" applyNumberFormat="1" applyFont="1" applyFill="1" applyAlignment="1">
      <alignment/>
    </xf>
    <xf numFmtId="197" fontId="61" fillId="0" borderId="0" xfId="0" applyNumberFormat="1" applyFont="1" applyFill="1" applyAlignment="1">
      <alignment horizontal="left"/>
    </xf>
    <xf numFmtId="0" fontId="69" fillId="0" borderId="0" xfId="0" applyFont="1" applyFill="1" applyAlignment="1">
      <alignment/>
    </xf>
    <xf numFmtId="200" fontId="69" fillId="0" borderId="0" xfId="0" applyNumberFormat="1" applyFont="1" applyFill="1" applyAlignment="1">
      <alignment/>
    </xf>
    <xf numFmtId="49" fontId="67" fillId="0" borderId="0" xfId="0" applyNumberFormat="1" applyFont="1" applyFill="1" applyAlignment="1">
      <alignment horizontal="center" wrapText="1"/>
    </xf>
    <xf numFmtId="49" fontId="67" fillId="0" borderId="0" xfId="0" applyNumberFormat="1" applyFont="1" applyFill="1" applyAlignment="1">
      <alignment horizontal="center"/>
    </xf>
    <xf numFmtId="2" fontId="67" fillId="0" borderId="0" xfId="0" applyNumberFormat="1" applyFont="1" applyFill="1" applyAlignment="1">
      <alignment/>
    </xf>
    <xf numFmtId="197" fontId="69" fillId="0" borderId="0" xfId="0" applyNumberFormat="1" applyFont="1" applyFill="1" applyAlignment="1">
      <alignment horizontal="left"/>
    </xf>
    <xf numFmtId="49" fontId="60" fillId="0" borderId="0" xfId="0" applyNumberFormat="1" applyFont="1" applyFill="1" applyAlignment="1">
      <alignment horizontal="center" wrapText="1"/>
    </xf>
    <xf numFmtId="49" fontId="60" fillId="0" borderId="0" xfId="0" applyNumberFormat="1" applyFont="1" applyFill="1" applyAlignment="1">
      <alignment horizontal="center"/>
    </xf>
    <xf numFmtId="1" fontId="67" fillId="0" borderId="0" xfId="0" applyNumberFormat="1" applyFont="1" applyFill="1" applyAlignment="1">
      <alignment/>
    </xf>
    <xf numFmtId="4" fontId="67" fillId="0" borderId="0" xfId="0" applyNumberFormat="1" applyFont="1" applyFill="1" applyAlignment="1">
      <alignment/>
    </xf>
    <xf numFmtId="4" fontId="67" fillId="0" borderId="0" xfId="0" applyNumberFormat="1" applyFont="1" applyFill="1" applyBorder="1" applyAlignment="1">
      <alignment/>
    </xf>
    <xf numFmtId="197" fontId="67" fillId="0" borderId="0" xfId="0" applyNumberFormat="1" applyFont="1" applyFill="1" applyAlignment="1">
      <alignment horizontal="left"/>
    </xf>
    <xf numFmtId="0" fontId="68" fillId="0" borderId="0" xfId="0" applyFont="1" applyFill="1" applyAlignment="1">
      <alignment/>
    </xf>
    <xf numFmtId="3" fontId="60" fillId="0" borderId="0" xfId="0" applyNumberFormat="1" applyFont="1" applyFill="1" applyAlignment="1">
      <alignment horizontal="right"/>
    </xf>
    <xf numFmtId="4" fontId="70" fillId="0" borderId="0" xfId="0" applyNumberFormat="1" applyFont="1" applyFill="1" applyAlignment="1">
      <alignment horizontal="right"/>
    </xf>
    <xf numFmtId="197" fontId="77" fillId="0" borderId="0" xfId="0" applyNumberFormat="1" applyFont="1" applyFill="1" applyAlignment="1">
      <alignment horizontal="left"/>
    </xf>
    <xf numFmtId="197" fontId="77" fillId="0" borderId="0" xfId="0" applyNumberFormat="1" applyFont="1" applyFill="1" applyAlignment="1">
      <alignment/>
    </xf>
    <xf numFmtId="0" fontId="77" fillId="0" borderId="0" xfId="0" applyFont="1" applyFill="1" applyAlignment="1">
      <alignment/>
    </xf>
    <xf numFmtId="197" fontId="61" fillId="0" borderId="0" xfId="0" applyNumberFormat="1" applyFont="1" applyFill="1" applyAlignment="1">
      <alignment horizontal="left" wrapText="1"/>
    </xf>
    <xf numFmtId="197" fontId="68" fillId="0" borderId="0" xfId="0" applyNumberFormat="1" applyFont="1" applyFill="1" applyAlignment="1">
      <alignment horizontal="left" wrapText="1"/>
    </xf>
    <xf numFmtId="3" fontId="67" fillId="0" borderId="0" xfId="0" applyNumberFormat="1" applyFont="1" applyFill="1" applyAlignment="1">
      <alignment/>
    </xf>
    <xf numFmtId="197" fontId="71" fillId="0" borderId="0" xfId="0" applyNumberFormat="1" applyFont="1" applyFill="1" applyAlignment="1">
      <alignment horizontal="left"/>
    </xf>
    <xf numFmtId="3" fontId="60" fillId="0" borderId="0" xfId="0" applyNumberFormat="1" applyFont="1" applyFill="1" applyAlignment="1">
      <alignment/>
    </xf>
    <xf numFmtId="3" fontId="60" fillId="0" borderId="0" xfId="0" applyNumberFormat="1" applyFont="1" applyFill="1" applyAlignment="1">
      <alignment/>
    </xf>
    <xf numFmtId="197" fontId="78" fillId="0" borderId="0" xfId="0" applyNumberFormat="1" applyFont="1" applyFill="1" applyAlignment="1">
      <alignment horizontal="left"/>
    </xf>
    <xf numFmtId="0" fontId="79" fillId="0" borderId="0" xfId="0" applyFont="1" applyFill="1" applyAlignment="1">
      <alignment/>
    </xf>
    <xf numFmtId="189" fontId="79" fillId="0" borderId="0" xfId="0" applyNumberFormat="1" applyFont="1" applyFill="1" applyAlignment="1">
      <alignment/>
    </xf>
    <xf numFmtId="197" fontId="71" fillId="0" borderId="0" xfId="0" applyNumberFormat="1" applyFont="1" applyFill="1" applyAlignment="1">
      <alignment horizontal="left"/>
    </xf>
    <xf numFmtId="197" fontId="73" fillId="0" borderId="0" xfId="0" applyNumberFormat="1" applyFont="1" applyFill="1" applyAlignment="1">
      <alignment horizontal="left"/>
    </xf>
    <xf numFmtId="3" fontId="67" fillId="0" borderId="0" xfId="0" applyNumberFormat="1" applyFont="1" applyFill="1" applyAlignment="1">
      <alignment/>
    </xf>
    <xf numFmtId="197" fontId="67" fillId="0" borderId="0" xfId="0" applyNumberFormat="1" applyFont="1" applyFill="1" applyAlignment="1">
      <alignment horizontal="left" wrapText="1"/>
    </xf>
    <xf numFmtId="197" fontId="68" fillId="0" borderId="0" xfId="0" applyNumberFormat="1" applyFont="1" applyFill="1" applyAlignment="1">
      <alignment horizontal="left" wrapText="1"/>
    </xf>
    <xf numFmtId="1" fontId="60" fillId="0" borderId="0" xfId="0" applyNumberFormat="1" applyFont="1" applyFill="1" applyBorder="1" applyAlignment="1">
      <alignment wrapText="1"/>
    </xf>
    <xf numFmtId="197" fontId="80" fillId="0" borderId="0" xfId="0" applyNumberFormat="1" applyFont="1" applyFill="1" applyAlignment="1">
      <alignment horizontal="left"/>
    </xf>
    <xf numFmtId="197" fontId="67" fillId="0" borderId="0" xfId="0" applyNumberFormat="1" applyFont="1" applyFill="1" applyAlignment="1">
      <alignment/>
    </xf>
    <xf numFmtId="197" fontId="72" fillId="0" borderId="0" xfId="0" applyNumberFormat="1" applyFont="1" applyFill="1" applyAlignment="1">
      <alignment wrapText="1"/>
    </xf>
    <xf numFmtId="3" fontId="60" fillId="0" borderId="0" xfId="0" applyNumberFormat="1" applyFont="1" applyFill="1" applyAlignment="1">
      <alignment/>
    </xf>
    <xf numFmtId="2" fontId="60" fillId="0" borderId="0" xfId="0" applyNumberFormat="1" applyFont="1" applyFill="1" applyAlignment="1">
      <alignment/>
    </xf>
    <xf numFmtId="0" fontId="67" fillId="0" borderId="0" xfId="0" applyFont="1" applyFill="1" applyBorder="1" applyAlignment="1">
      <alignment vertical="center" wrapText="1"/>
    </xf>
    <xf numFmtId="1" fontId="60" fillId="0" borderId="0" xfId="0" applyNumberFormat="1" applyFont="1" applyFill="1" applyBorder="1" applyAlignment="1">
      <alignment horizontal="left" wrapText="1"/>
    </xf>
    <xf numFmtId="189" fontId="69" fillId="0" borderId="0" xfId="0" applyNumberFormat="1" applyFont="1" applyFill="1" applyAlignment="1">
      <alignment/>
    </xf>
    <xf numFmtId="0" fontId="70" fillId="0" borderId="0" xfId="0" applyFont="1" applyFill="1" applyBorder="1" applyAlignment="1">
      <alignment/>
    </xf>
    <xf numFmtId="4" fontId="74" fillId="0" borderId="0" xfId="0" applyNumberFormat="1" applyFont="1" applyFill="1" applyAlignment="1">
      <alignment/>
    </xf>
    <xf numFmtId="197" fontId="79" fillId="0" borderId="0" xfId="0" applyNumberFormat="1" applyFont="1" applyFill="1" applyAlignment="1">
      <alignment horizontal="left"/>
    </xf>
    <xf numFmtId="1" fontId="70" fillId="0" borderId="0" xfId="0" applyNumberFormat="1" applyFont="1" applyFill="1" applyBorder="1" applyAlignment="1">
      <alignment wrapText="1"/>
    </xf>
    <xf numFmtId="200" fontId="68" fillId="0" borderId="0" xfId="0" applyNumberFormat="1" applyFont="1" applyFill="1" applyAlignment="1">
      <alignment/>
    </xf>
    <xf numFmtId="0" fontId="60" fillId="0" borderId="0" xfId="0" applyFont="1" applyFill="1" applyBorder="1" applyAlignment="1">
      <alignment horizontal="center"/>
    </xf>
    <xf numFmtId="49" fontId="70" fillId="0" borderId="18" xfId="0" applyNumberFormat="1" applyFont="1" applyFill="1" applyBorder="1" applyAlignment="1">
      <alignment horizontal="center"/>
    </xf>
    <xf numFmtId="0" fontId="73" fillId="0" borderId="18" xfId="0" applyFont="1" applyFill="1" applyBorder="1" applyAlignment="1">
      <alignment horizontal="left" wrapText="1"/>
    </xf>
    <xf numFmtId="2" fontId="67" fillId="0" borderId="18" xfId="0" applyNumberFormat="1" applyFont="1" applyFill="1" applyBorder="1" applyAlignment="1">
      <alignment/>
    </xf>
    <xf numFmtId="4" fontId="70" fillId="0" borderId="18" xfId="0" applyNumberFormat="1" applyFont="1" applyFill="1" applyBorder="1" applyAlignment="1">
      <alignment/>
    </xf>
    <xf numFmtId="4" fontId="73" fillId="0" borderId="18" xfId="0" applyNumberFormat="1" applyFont="1" applyFill="1" applyBorder="1" applyAlignment="1">
      <alignment/>
    </xf>
    <xf numFmtId="2" fontId="73" fillId="0" borderId="18" xfId="0" applyNumberFormat="1" applyFont="1" applyFill="1" applyBorder="1" applyAlignment="1">
      <alignment/>
    </xf>
    <xf numFmtId="3" fontId="73" fillId="0" borderId="18" xfId="0" applyNumberFormat="1" applyFont="1" applyFill="1" applyBorder="1" applyAlignment="1">
      <alignment/>
    </xf>
    <xf numFmtId="4" fontId="72" fillId="0" borderId="0" xfId="0" applyNumberFormat="1" applyFont="1" applyFill="1" applyAlignment="1">
      <alignment horizontal="left"/>
    </xf>
    <xf numFmtId="2" fontId="73" fillId="0" borderId="0" xfId="0" applyNumberFormat="1" applyFont="1" applyFill="1" applyAlignment="1">
      <alignment/>
    </xf>
    <xf numFmtId="2" fontId="70" fillId="0" borderId="0" xfId="0" applyNumberFormat="1" applyFont="1" applyFill="1" applyAlignment="1">
      <alignment/>
    </xf>
    <xf numFmtId="197" fontId="67" fillId="0" borderId="0" xfId="0" applyNumberFormat="1" applyFont="1" applyFill="1" applyBorder="1" applyAlignment="1">
      <alignment/>
    </xf>
    <xf numFmtId="0" fontId="67" fillId="0" borderId="0" xfId="0" applyFont="1" applyFill="1" applyAlignment="1">
      <alignment wrapText="1"/>
    </xf>
    <xf numFmtId="189" fontId="67" fillId="0" borderId="0" xfId="0" applyNumberFormat="1" applyFont="1" applyFill="1" applyAlignment="1">
      <alignment wrapText="1"/>
    </xf>
    <xf numFmtId="0" fontId="67" fillId="0" borderId="0" xfId="0" applyFont="1" applyFill="1" applyBorder="1" applyAlignment="1">
      <alignment/>
    </xf>
    <xf numFmtId="2" fontId="73" fillId="0" borderId="0" xfId="0" applyNumberFormat="1" applyFont="1" applyFill="1" applyBorder="1" applyAlignment="1">
      <alignment horizontal="left"/>
    </xf>
    <xf numFmtId="2" fontId="68" fillId="0" borderId="0" xfId="0" applyNumberFormat="1" applyFont="1" applyFill="1" applyAlignment="1">
      <alignment/>
    </xf>
    <xf numFmtId="2" fontId="69" fillId="0" borderId="0" xfId="0" applyNumberFormat="1" applyFont="1" applyFill="1" applyAlignment="1">
      <alignment/>
    </xf>
    <xf numFmtId="4" fontId="70" fillId="0" borderId="0" xfId="0" applyNumberFormat="1" applyFont="1" applyFill="1" applyBorder="1" applyAlignment="1">
      <alignment/>
    </xf>
    <xf numFmtId="197" fontId="67" fillId="0" borderId="0" xfId="0" applyNumberFormat="1" applyFont="1" applyFill="1" applyBorder="1" applyAlignment="1">
      <alignment horizontal="left"/>
    </xf>
    <xf numFmtId="196" fontId="67" fillId="0" borderId="0" xfId="0" applyNumberFormat="1" applyFont="1" applyFill="1" applyAlignment="1">
      <alignment/>
    </xf>
    <xf numFmtId="4" fontId="69" fillId="0" borderId="0" xfId="0" applyNumberFormat="1" applyFont="1" applyFill="1" applyAlignment="1">
      <alignment/>
    </xf>
    <xf numFmtId="4" fontId="69" fillId="0" borderId="0" xfId="0" applyNumberFormat="1" applyFont="1" applyFill="1" applyBorder="1" applyAlignment="1">
      <alignment/>
    </xf>
    <xf numFmtId="200" fontId="67" fillId="0" borderId="0" xfId="0" applyNumberFormat="1" applyFont="1" applyFill="1" applyBorder="1" applyAlignment="1">
      <alignment horizontal="left"/>
    </xf>
    <xf numFmtId="4" fontId="70" fillId="0" borderId="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4" fontId="73" fillId="0" borderId="0" xfId="0" applyNumberFormat="1" applyFont="1" applyFill="1" applyAlignment="1">
      <alignment wrapText="1"/>
    </xf>
    <xf numFmtId="0" fontId="68" fillId="0" borderId="0" xfId="0" applyFont="1" applyFill="1" applyBorder="1" applyAlignment="1">
      <alignment horizontal="center" wrapText="1"/>
    </xf>
    <xf numFmtId="4" fontId="77" fillId="0" borderId="0" xfId="0" applyNumberFormat="1" applyFont="1" applyFill="1" applyAlignment="1">
      <alignment/>
    </xf>
    <xf numFmtId="4" fontId="77" fillId="0" borderId="0" xfId="0" applyNumberFormat="1" applyFont="1" applyFill="1" applyBorder="1" applyAlignment="1">
      <alignment/>
    </xf>
    <xf numFmtId="4" fontId="69" fillId="0" borderId="0" xfId="0" applyNumberFormat="1" applyFont="1" applyFill="1" applyBorder="1" applyAlignment="1">
      <alignment horizontal="left"/>
    </xf>
    <xf numFmtId="4" fontId="67" fillId="0" borderId="0" xfId="0" applyNumberFormat="1" applyFont="1" applyFill="1" applyBorder="1" applyAlignment="1">
      <alignment/>
    </xf>
    <xf numFmtId="188" fontId="67" fillId="0" borderId="0" xfId="0" applyNumberFormat="1" applyFont="1" applyFill="1" applyAlignment="1">
      <alignment horizontal="right"/>
    </xf>
    <xf numFmtId="4" fontId="68" fillId="0" borderId="0" xfId="0" applyNumberFormat="1" applyFont="1" applyFill="1" applyBorder="1" applyAlignment="1">
      <alignment horizontal="center"/>
    </xf>
    <xf numFmtId="4" fontId="67" fillId="0" borderId="0" xfId="0" applyNumberFormat="1" applyFont="1" applyFill="1" applyBorder="1" applyAlignment="1">
      <alignment horizontal="right"/>
    </xf>
    <xf numFmtId="4" fontId="67" fillId="0" borderId="0" xfId="0" applyNumberFormat="1" applyFont="1" applyFill="1" applyBorder="1" applyAlignment="1">
      <alignment horizontal="left"/>
    </xf>
    <xf numFmtId="197" fontId="70" fillId="0" borderId="0" xfId="0" applyNumberFormat="1" applyFont="1" applyFill="1" applyAlignment="1">
      <alignment/>
    </xf>
    <xf numFmtId="4" fontId="73" fillId="0" borderId="0" xfId="0" applyNumberFormat="1" applyFont="1" applyFill="1" applyBorder="1" applyAlignment="1">
      <alignment/>
    </xf>
    <xf numFmtId="197" fontId="73" fillId="0" borderId="0" xfId="0" applyNumberFormat="1" applyFont="1" applyFill="1" applyAlignment="1">
      <alignment/>
    </xf>
    <xf numFmtId="0" fontId="69" fillId="0" borderId="0" xfId="0" applyFont="1" applyFill="1" applyAlignment="1">
      <alignment horizontal="left"/>
    </xf>
    <xf numFmtId="197" fontId="69" fillId="0" borderId="0" xfId="0" applyNumberFormat="1" applyFont="1" applyFill="1" applyAlignment="1">
      <alignment horizontal="right"/>
    </xf>
    <xf numFmtId="49" fontId="68" fillId="0" borderId="0" xfId="0" applyNumberFormat="1" applyFont="1" applyFill="1" applyAlignment="1">
      <alignment/>
    </xf>
    <xf numFmtId="0" fontId="68" fillId="0" borderId="0" xfId="0" applyFont="1" applyFill="1" applyAlignment="1">
      <alignment wrapText="1"/>
    </xf>
    <xf numFmtId="2" fontId="69" fillId="0" borderId="0" xfId="0" applyNumberFormat="1" applyFont="1" applyFill="1" applyAlignment="1">
      <alignment/>
    </xf>
    <xf numFmtId="189" fontId="69" fillId="0" borderId="0" xfId="0" applyNumberFormat="1" applyFont="1" applyFill="1" applyAlignment="1">
      <alignment wrapText="1"/>
    </xf>
    <xf numFmtId="197" fontId="77" fillId="0" borderId="0" xfId="0" applyNumberFormat="1" applyFont="1" applyFill="1" applyAlignment="1">
      <alignment horizontal="right"/>
    </xf>
    <xf numFmtId="0" fontId="67" fillId="0" borderId="0" xfId="0" applyFont="1" applyFill="1" applyAlignment="1">
      <alignment horizontal="center" vertical="center"/>
    </xf>
    <xf numFmtId="49" fontId="67"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xf>
    <xf numFmtId="0" fontId="67" fillId="0" borderId="0" xfId="0" applyFont="1" applyFill="1" applyAlignment="1">
      <alignment horizontal="left" vertical="center"/>
    </xf>
    <xf numFmtId="0" fontId="73" fillId="0" borderId="10" xfId="0" applyFont="1" applyFill="1" applyBorder="1" applyAlignment="1">
      <alignment horizontal="center" wrapText="1"/>
    </xf>
    <xf numFmtId="0" fontId="67" fillId="0" borderId="16" xfId="0" applyFont="1" applyFill="1" applyBorder="1" applyAlignment="1">
      <alignment horizontal="center" vertical="center" wrapText="1"/>
    </xf>
    <xf numFmtId="0" fontId="67" fillId="0" borderId="10" xfId="0" applyFont="1" applyFill="1" applyBorder="1" applyAlignment="1">
      <alignment horizontal="center" vertical="center" wrapText="1"/>
    </xf>
    <xf numFmtId="2" fontId="67" fillId="0" borderId="10" xfId="0" applyNumberFormat="1" applyFont="1" applyFill="1" applyBorder="1" applyAlignment="1">
      <alignment horizontal="center" wrapText="1"/>
    </xf>
    <xf numFmtId="0" fontId="67" fillId="0" borderId="10" xfId="0" applyFont="1" applyFill="1" applyBorder="1" applyAlignment="1">
      <alignment horizontal="center" vertical="center"/>
    </xf>
    <xf numFmtId="0" fontId="67" fillId="0" borderId="17" xfId="0" applyFont="1" applyFill="1" applyBorder="1" applyAlignment="1">
      <alignment horizontal="center" vertical="center" wrapText="1"/>
    </xf>
    <xf numFmtId="0" fontId="68" fillId="0" borderId="10" xfId="0" applyFont="1" applyFill="1" applyBorder="1" applyAlignment="1">
      <alignment horizontal="right" vertical="center"/>
    </xf>
    <xf numFmtId="197" fontId="67" fillId="0" borderId="10" xfId="0" applyNumberFormat="1" applyFont="1" applyFill="1" applyBorder="1" applyAlignment="1">
      <alignment horizontal="center" vertical="center" wrapText="1"/>
    </xf>
    <xf numFmtId="0" fontId="67" fillId="0" borderId="0" xfId="0" applyFont="1" applyFill="1" applyBorder="1" applyAlignment="1">
      <alignment horizontal="center" vertical="center"/>
    </xf>
    <xf numFmtId="0" fontId="70"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0" xfId="0" applyFont="1" applyFill="1" applyBorder="1" applyAlignment="1">
      <alignment horizontal="left" vertical="center"/>
    </xf>
    <xf numFmtId="0" fontId="73" fillId="0" borderId="0" xfId="0" applyFont="1" applyFill="1" applyBorder="1" applyAlignment="1">
      <alignment horizontal="center" vertical="center"/>
    </xf>
    <xf numFmtId="0" fontId="68" fillId="0" borderId="10" xfId="0" applyFont="1" applyFill="1" applyBorder="1" applyAlignment="1">
      <alignment horizontal="center"/>
    </xf>
    <xf numFmtId="0" fontId="68" fillId="0" borderId="10" xfId="0" applyFont="1" applyFill="1" applyBorder="1" applyAlignment="1">
      <alignment horizontal="center" vertical="center"/>
    </xf>
    <xf numFmtId="0" fontId="68" fillId="0" borderId="10" xfId="0" applyFont="1" applyFill="1" applyBorder="1" applyAlignment="1">
      <alignment horizontal="center" vertical="center" wrapText="1"/>
    </xf>
    <xf numFmtId="1" fontId="68" fillId="0" borderId="10" xfId="60" applyNumberFormat="1" applyFont="1" applyFill="1" applyBorder="1" applyAlignment="1">
      <alignment horizontal="center" vertical="center"/>
    </xf>
    <xf numFmtId="0" fontId="73" fillId="0" borderId="0" xfId="0" applyFont="1" applyFill="1" applyBorder="1" applyAlignment="1">
      <alignment horizontal="left" vertical="center"/>
    </xf>
    <xf numFmtId="2" fontId="67" fillId="0" borderId="0" xfId="0" applyNumberFormat="1" applyFont="1" applyFill="1" applyAlignment="1">
      <alignment horizontal="center" vertical="center"/>
    </xf>
    <xf numFmtId="197" fontId="67" fillId="0" borderId="0" xfId="0" applyNumberFormat="1" applyFont="1" applyFill="1" applyAlignment="1">
      <alignment horizontal="center" vertical="center"/>
    </xf>
    <xf numFmtId="197" fontId="68" fillId="0" borderId="0" xfId="0" applyNumberFormat="1" applyFont="1" applyFill="1" applyBorder="1" applyAlignment="1">
      <alignment horizontal="center" vertical="center"/>
    </xf>
    <xf numFmtId="197" fontId="68" fillId="0" borderId="0" xfId="0" applyNumberFormat="1" applyFont="1" applyFill="1" applyBorder="1" applyAlignment="1">
      <alignment horizontal="right" vertical="center"/>
    </xf>
    <xf numFmtId="197" fontId="73" fillId="0" borderId="0" xfId="0" applyNumberFormat="1" applyFont="1" applyFill="1" applyBorder="1" applyAlignment="1">
      <alignment horizontal="right" vertical="center"/>
    </xf>
    <xf numFmtId="4" fontId="67" fillId="0" borderId="0" xfId="0" applyNumberFormat="1" applyFont="1" applyFill="1" applyAlignment="1">
      <alignment horizontal="center" vertical="center"/>
    </xf>
    <xf numFmtId="4" fontId="68" fillId="0" borderId="0" xfId="0" applyNumberFormat="1" applyFont="1" applyFill="1" applyBorder="1" applyAlignment="1">
      <alignment horizontal="center" vertical="center"/>
    </xf>
    <xf numFmtId="4" fontId="73" fillId="0" borderId="0" xfId="0" applyNumberFormat="1" applyFont="1" applyFill="1" applyBorder="1" applyAlignment="1">
      <alignment horizontal="right" vertical="center"/>
    </xf>
    <xf numFmtId="4" fontId="68" fillId="0" borderId="0" xfId="0" applyNumberFormat="1" applyFont="1" applyFill="1" applyBorder="1" applyAlignment="1">
      <alignment horizontal="right" vertical="center"/>
    </xf>
    <xf numFmtId="0" fontId="70" fillId="0" borderId="0" xfId="0" applyFont="1" applyFill="1" applyAlignment="1">
      <alignment horizontal="center" vertical="center"/>
    </xf>
    <xf numFmtId="200" fontId="70" fillId="0" borderId="0" xfId="0" applyNumberFormat="1" applyFont="1" applyFill="1" applyAlignment="1">
      <alignment horizontal="center" vertical="center"/>
    </xf>
    <xf numFmtId="3" fontId="67" fillId="0" borderId="0" xfId="0" applyNumberFormat="1" applyFont="1" applyFill="1" applyAlignment="1">
      <alignment horizontal="center" vertical="center"/>
    </xf>
    <xf numFmtId="3" fontId="68" fillId="0" borderId="0" xfId="0" applyNumberFormat="1" applyFont="1" applyFill="1" applyAlignment="1">
      <alignment horizontal="right" vertical="center"/>
    </xf>
    <xf numFmtId="3" fontId="73" fillId="0" borderId="0" xfId="0" applyNumberFormat="1" applyFont="1" applyFill="1" applyAlignment="1">
      <alignment horizontal="right" vertical="center"/>
    </xf>
    <xf numFmtId="0" fontId="69" fillId="0" borderId="0" xfId="0" applyFont="1" applyFill="1" applyAlignment="1">
      <alignment horizontal="left" vertical="center" wrapText="1"/>
    </xf>
    <xf numFmtId="3" fontId="68" fillId="0" borderId="0" xfId="0" applyNumberFormat="1" applyFont="1" applyFill="1" applyAlignment="1">
      <alignment horizontal="center" vertical="center"/>
    </xf>
    <xf numFmtId="0" fontId="67" fillId="0" borderId="0" xfId="0" applyFont="1" applyFill="1" applyAlignment="1">
      <alignment horizontal="left" vertical="center" wrapText="1"/>
    </xf>
    <xf numFmtId="0" fontId="73" fillId="0" borderId="0" xfId="0" applyFont="1" applyFill="1" applyAlignment="1">
      <alignment horizontal="left" vertical="center" wrapText="1"/>
    </xf>
    <xf numFmtId="3" fontId="70" fillId="0" borderId="0" xfId="0" applyNumberFormat="1" applyFont="1" applyFill="1" applyAlignment="1">
      <alignment horizontal="center" vertical="center"/>
    </xf>
    <xf numFmtId="197" fontId="70" fillId="0" borderId="0" xfId="0" applyNumberFormat="1" applyFont="1" applyFill="1" applyAlignment="1">
      <alignment horizontal="left" vertical="center"/>
    </xf>
    <xf numFmtId="0" fontId="68" fillId="0" borderId="0" xfId="0" applyFont="1" applyFill="1" applyAlignment="1">
      <alignment horizontal="center" vertical="center"/>
    </xf>
    <xf numFmtId="0" fontId="69" fillId="0" borderId="0" xfId="0" applyFont="1" applyFill="1" applyBorder="1" applyAlignment="1">
      <alignment wrapText="1"/>
    </xf>
    <xf numFmtId="49" fontId="79" fillId="0" borderId="0" xfId="0" applyNumberFormat="1" applyFont="1" applyFill="1" applyBorder="1" applyAlignment="1">
      <alignment horizontal="center"/>
    </xf>
    <xf numFmtId="0" fontId="79" fillId="0" borderId="0" xfId="0" applyFont="1" applyFill="1" applyBorder="1" applyAlignment="1">
      <alignment wrapText="1"/>
    </xf>
    <xf numFmtId="0" fontId="67" fillId="0" borderId="0" xfId="0" applyFont="1" applyFill="1" applyBorder="1" applyAlignment="1">
      <alignment horizontal="center" wrapText="1"/>
    </xf>
    <xf numFmtId="3" fontId="73" fillId="0" borderId="0" xfId="0" applyNumberFormat="1" applyFont="1" applyFill="1" applyAlignment="1">
      <alignment vertical="center"/>
    </xf>
    <xf numFmtId="3" fontId="70" fillId="0" borderId="0" xfId="0" applyNumberFormat="1" applyFont="1" applyFill="1" applyAlignment="1">
      <alignment vertical="center"/>
    </xf>
    <xf numFmtId="3" fontId="70" fillId="0" borderId="0" xfId="0" applyNumberFormat="1" applyFont="1" applyFill="1" applyBorder="1" applyAlignment="1">
      <alignment horizontal="left" wrapText="1"/>
    </xf>
    <xf numFmtId="4" fontId="68" fillId="0" borderId="0" xfId="0" applyNumberFormat="1" applyFont="1" applyFill="1" applyAlignment="1">
      <alignment horizontal="center" vertical="center"/>
    </xf>
    <xf numFmtId="4" fontId="68" fillId="0" borderId="0" xfId="0" applyNumberFormat="1" applyFont="1" applyFill="1" applyAlignment="1">
      <alignment horizontal="right" vertical="center"/>
    </xf>
    <xf numFmtId="4" fontId="73" fillId="0" borderId="0" xfId="0" applyNumberFormat="1" applyFont="1" applyFill="1" applyAlignment="1">
      <alignment horizontal="right" vertical="center"/>
    </xf>
    <xf numFmtId="0" fontId="69" fillId="0" borderId="0" xfId="0" applyFont="1" applyFill="1" applyAlignment="1">
      <alignment horizontal="left" wrapText="1"/>
    </xf>
    <xf numFmtId="3" fontId="60" fillId="0" borderId="0" xfId="0" applyNumberFormat="1" applyFont="1" applyFill="1" applyAlignment="1">
      <alignment horizontal="center" vertical="center"/>
    </xf>
    <xf numFmtId="3" fontId="81" fillId="0" borderId="0" xfId="0" applyNumberFormat="1" applyFont="1" applyFill="1" applyAlignment="1">
      <alignment horizontal="center" vertical="center"/>
    </xf>
    <xf numFmtId="0" fontId="60" fillId="0" borderId="0" xfId="0" applyFont="1" applyFill="1" applyAlignment="1">
      <alignment horizontal="center" vertical="center"/>
    </xf>
    <xf numFmtId="2" fontId="60" fillId="0" borderId="0" xfId="0" applyNumberFormat="1" applyFont="1" applyFill="1" applyAlignment="1">
      <alignment horizontal="center" vertical="center"/>
    </xf>
    <xf numFmtId="197" fontId="60" fillId="0" borderId="0" xfId="0" applyNumberFormat="1" applyFont="1" applyFill="1" applyAlignment="1">
      <alignment horizontal="center" vertical="center"/>
    </xf>
    <xf numFmtId="4" fontId="60" fillId="0" borderId="0" xfId="0" applyNumberFormat="1" applyFont="1" applyFill="1" applyAlignment="1">
      <alignment horizontal="center" vertical="center"/>
    </xf>
    <xf numFmtId="4" fontId="81" fillId="0" borderId="0" xfId="0" applyNumberFormat="1" applyFont="1" applyFill="1" applyAlignment="1">
      <alignment horizontal="center" vertical="center"/>
    </xf>
    <xf numFmtId="1" fontId="60" fillId="0" borderId="0" xfId="0" applyNumberFormat="1" applyFont="1" applyFill="1" applyAlignment="1">
      <alignment horizontal="center" vertical="center"/>
    </xf>
    <xf numFmtId="1" fontId="67" fillId="0" borderId="0" xfId="0" applyNumberFormat="1" applyFont="1" applyFill="1" applyAlignment="1">
      <alignment horizontal="center" vertical="center"/>
    </xf>
    <xf numFmtId="1" fontId="68" fillId="0" borderId="0" xfId="0" applyNumberFormat="1" applyFont="1" applyFill="1" applyAlignment="1">
      <alignment horizontal="right" vertical="center"/>
    </xf>
    <xf numFmtId="1" fontId="73" fillId="0" borderId="0" xfId="0" applyNumberFormat="1" applyFont="1" applyFill="1" applyAlignment="1">
      <alignment horizontal="right" vertical="center"/>
    </xf>
    <xf numFmtId="1" fontId="70" fillId="0" borderId="0" xfId="0" applyNumberFormat="1" applyFont="1" applyFill="1" applyAlignment="1">
      <alignment horizontal="center" vertical="center"/>
    </xf>
    <xf numFmtId="3" fontId="73" fillId="0" borderId="0" xfId="0" applyNumberFormat="1" applyFont="1" applyFill="1" applyAlignment="1">
      <alignment horizontal="center" vertical="center"/>
    </xf>
    <xf numFmtId="0" fontId="68" fillId="0" borderId="0" xfId="0" applyFont="1" applyFill="1" applyAlignment="1">
      <alignment horizontal="left" vertical="center"/>
    </xf>
    <xf numFmtId="2" fontId="70" fillId="0" borderId="0" xfId="0" applyNumberFormat="1" applyFont="1" applyFill="1" applyAlignment="1">
      <alignment horizontal="center" vertical="center"/>
    </xf>
    <xf numFmtId="197" fontId="70" fillId="0" borderId="0" xfId="0" applyNumberFormat="1" applyFont="1" applyFill="1" applyAlignment="1">
      <alignment horizontal="center" vertical="center"/>
    </xf>
    <xf numFmtId="4" fontId="70" fillId="0" borderId="0" xfId="0" applyNumberFormat="1" applyFont="1" applyFill="1" applyAlignment="1">
      <alignment horizontal="center" vertical="center"/>
    </xf>
    <xf numFmtId="3" fontId="67" fillId="0" borderId="0" xfId="0" applyNumberFormat="1" applyFont="1" applyFill="1" applyAlignment="1">
      <alignment horizontal="center"/>
    </xf>
    <xf numFmtId="3" fontId="68" fillId="0" borderId="0" xfId="0" applyNumberFormat="1" applyFont="1" applyFill="1" applyAlignment="1">
      <alignment horizontal="center"/>
    </xf>
    <xf numFmtId="0" fontId="67" fillId="0" borderId="0" xfId="0" applyFont="1" applyFill="1" applyAlignment="1">
      <alignment vertical="center"/>
    </xf>
    <xf numFmtId="0" fontId="70" fillId="0" borderId="0" xfId="0" applyFont="1" applyFill="1" applyAlignment="1">
      <alignment vertical="center" wrapText="1"/>
    </xf>
    <xf numFmtId="0" fontId="60" fillId="0" borderId="0" xfId="0" applyFont="1" applyFill="1" applyAlignment="1">
      <alignment horizontal="left" vertical="center"/>
    </xf>
    <xf numFmtId="0" fontId="68" fillId="0" borderId="0" xfId="0" applyFont="1" applyFill="1" applyAlignment="1">
      <alignment vertical="center" wrapText="1"/>
    </xf>
    <xf numFmtId="0" fontId="60" fillId="0" borderId="0" xfId="0" applyFont="1" applyFill="1" applyBorder="1" applyAlignment="1">
      <alignment vertical="center" wrapText="1"/>
    </xf>
    <xf numFmtId="197" fontId="67" fillId="0" borderId="0" xfId="0" applyNumberFormat="1" applyFont="1" applyFill="1" applyAlignment="1">
      <alignment horizontal="left" vertical="center" wrapText="1"/>
    </xf>
    <xf numFmtId="3" fontId="70" fillId="0" borderId="0" xfId="0" applyNumberFormat="1" applyFont="1" applyFill="1" applyAlignment="1">
      <alignment horizontal="right" vertical="center"/>
    </xf>
    <xf numFmtId="2" fontId="67" fillId="0" borderId="0" xfId="0" applyNumberFormat="1" applyFont="1" applyFill="1" applyAlignment="1">
      <alignment horizontal="left" vertical="center"/>
    </xf>
    <xf numFmtId="2" fontId="67" fillId="0" borderId="0" xfId="0" applyNumberFormat="1" applyFont="1" applyFill="1" applyAlignment="1">
      <alignment wrapText="1"/>
    </xf>
    <xf numFmtId="2" fontId="60" fillId="0" borderId="0" xfId="0" applyNumberFormat="1" applyFont="1" applyFill="1" applyAlignment="1">
      <alignment wrapText="1"/>
    </xf>
    <xf numFmtId="4" fontId="70" fillId="0" borderId="0" xfId="0" applyNumberFormat="1" applyFont="1" applyFill="1" applyBorder="1" applyAlignment="1" applyProtection="1">
      <alignment horizontal="center" vertical="center" wrapText="1"/>
      <protection/>
    </xf>
    <xf numFmtId="0" fontId="73" fillId="0" borderId="0" xfId="0" applyFont="1" applyFill="1" applyBorder="1" applyAlignment="1">
      <alignment horizontal="left" wrapText="1"/>
    </xf>
    <xf numFmtId="4" fontId="73" fillId="0" borderId="0" xfId="0" applyNumberFormat="1" applyFont="1" applyFill="1" applyAlignment="1">
      <alignment horizontal="center" vertical="center"/>
    </xf>
    <xf numFmtId="200" fontId="67" fillId="0" borderId="0" xfId="0" applyNumberFormat="1" applyFont="1" applyFill="1" applyAlignment="1">
      <alignment horizontal="center" vertical="center"/>
    </xf>
    <xf numFmtId="49" fontId="68" fillId="0" borderId="0" xfId="0" applyNumberFormat="1" applyFont="1" applyFill="1" applyAlignment="1">
      <alignment horizontal="center" vertical="center"/>
    </xf>
    <xf numFmtId="0" fontId="67" fillId="0" borderId="0" xfId="0" applyFont="1" applyFill="1" applyAlignment="1">
      <alignment horizontal="right" vertical="center"/>
    </xf>
    <xf numFmtId="0" fontId="68" fillId="0" borderId="0" xfId="0" applyFont="1" applyFill="1" applyAlignment="1">
      <alignment horizontal="right" vertical="center"/>
    </xf>
    <xf numFmtId="197" fontId="68" fillId="0" borderId="0" xfId="0" applyNumberFormat="1" applyFont="1" applyFill="1" applyAlignment="1">
      <alignment horizontal="right" vertical="center"/>
    </xf>
    <xf numFmtId="0" fontId="61" fillId="0" borderId="0" xfId="0" applyFont="1" applyFill="1" applyBorder="1" applyAlignment="1">
      <alignment/>
    </xf>
    <xf numFmtId="0" fontId="61" fillId="0" borderId="0" xfId="0" applyFont="1" applyFill="1" applyAlignment="1">
      <alignment horizontal="center" vertical="center"/>
    </xf>
    <xf numFmtId="0" fontId="61" fillId="0" borderId="0" xfId="0" applyFont="1" applyFill="1" applyAlignment="1">
      <alignment horizontal="center"/>
    </xf>
    <xf numFmtId="197" fontId="71" fillId="0" borderId="0" xfId="0" applyNumberFormat="1" applyFont="1" applyFill="1" applyAlignment="1">
      <alignment horizontal="right" vertical="center"/>
    </xf>
    <xf numFmtId="49" fontId="68" fillId="0" borderId="0" xfId="0" applyNumberFormat="1" applyFont="1" applyFill="1" applyBorder="1" applyAlignment="1">
      <alignment horizontal="center" vertical="center"/>
    </xf>
    <xf numFmtId="0" fontId="68" fillId="0" borderId="0" xfId="0" applyFont="1" applyFill="1" applyBorder="1" applyAlignment="1">
      <alignment horizontal="left" vertical="center"/>
    </xf>
    <xf numFmtId="0" fontId="67"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8" fillId="0" borderId="0" xfId="0" applyFont="1" applyFill="1" applyBorder="1" applyAlignment="1">
      <alignment horizontal="right" vertical="center"/>
    </xf>
    <xf numFmtId="2" fontId="67" fillId="0" borderId="0" xfId="0" applyNumberFormat="1" applyFont="1" applyFill="1" applyBorder="1" applyAlignment="1">
      <alignment horizontal="center" vertical="center"/>
    </xf>
    <xf numFmtId="2" fontId="73" fillId="0" borderId="0" xfId="0" applyNumberFormat="1" applyFont="1" applyFill="1" applyBorder="1" applyAlignment="1">
      <alignment horizontal="right" vertical="center"/>
    </xf>
    <xf numFmtId="2" fontId="77" fillId="0" borderId="0" xfId="0" applyNumberFormat="1" applyFont="1" applyFill="1" applyBorder="1" applyAlignment="1">
      <alignment horizontal="center" wrapText="1"/>
    </xf>
    <xf numFmtId="4" fontId="69" fillId="0" borderId="0" xfId="0" applyNumberFormat="1" applyFont="1" applyFill="1" applyBorder="1" applyAlignment="1">
      <alignment horizontal="center"/>
    </xf>
    <xf numFmtId="0" fontId="70" fillId="0" borderId="0" xfId="0" applyFont="1" applyFill="1" applyBorder="1" applyAlignment="1">
      <alignment horizontal="left"/>
    </xf>
    <xf numFmtId="4" fontId="70" fillId="0" borderId="0" xfId="0" applyNumberFormat="1" applyFont="1" applyFill="1" applyBorder="1" applyAlignment="1">
      <alignment horizontal="right"/>
    </xf>
    <xf numFmtId="4" fontId="67" fillId="0" borderId="0" xfId="0" applyNumberFormat="1" applyFont="1" applyFill="1" applyBorder="1" applyAlignment="1">
      <alignment horizontal="center" vertical="center"/>
    </xf>
    <xf numFmtId="0" fontId="70" fillId="0" borderId="0" xfId="0" applyFont="1" applyFill="1" applyBorder="1" applyAlignment="1">
      <alignment/>
    </xf>
    <xf numFmtId="0" fontId="82" fillId="0" borderId="0" xfId="0" applyFont="1" applyFill="1" applyBorder="1" applyAlignment="1">
      <alignment/>
    </xf>
    <xf numFmtId="3" fontId="68" fillId="0" borderId="0" xfId="0" applyNumberFormat="1" applyFont="1" applyFill="1" applyBorder="1" applyAlignment="1">
      <alignment horizontal="center" vertical="center"/>
    </xf>
    <xf numFmtId="0" fontId="67" fillId="0" borderId="0" xfId="0" applyFont="1" applyFill="1" applyBorder="1" applyAlignment="1">
      <alignment horizontal="left"/>
    </xf>
    <xf numFmtId="4" fontId="67" fillId="0" borderId="0" xfId="0" applyNumberFormat="1" applyFont="1" applyFill="1" applyBorder="1" applyAlignment="1">
      <alignment horizontal="right" vertical="center"/>
    </xf>
    <xf numFmtId="4" fontId="67" fillId="0" borderId="0" xfId="0" applyNumberFormat="1" applyFont="1" applyFill="1" applyBorder="1" applyAlignment="1">
      <alignment horizontal="left"/>
    </xf>
    <xf numFmtId="2" fontId="68" fillId="0" borderId="0" xfId="0" applyNumberFormat="1" applyFont="1" applyFill="1" applyBorder="1" applyAlignment="1">
      <alignment horizontal="right" vertical="center"/>
    </xf>
    <xf numFmtId="2" fontId="70" fillId="0" borderId="0" xfId="0" applyNumberFormat="1" applyFont="1" applyFill="1" applyBorder="1" applyAlignment="1">
      <alignment horizontal="left" vertical="center"/>
    </xf>
    <xf numFmtId="200" fontId="67" fillId="0" borderId="0" xfId="0" applyNumberFormat="1" applyFont="1" applyFill="1" applyBorder="1" applyAlignment="1">
      <alignment horizontal="center" vertical="center"/>
    </xf>
    <xf numFmtId="188" fontId="67" fillId="0" borderId="0" xfId="0" applyNumberFormat="1" applyFont="1" applyFill="1" applyBorder="1" applyAlignment="1">
      <alignment horizontal="center" vertical="center"/>
    </xf>
    <xf numFmtId="2" fontId="67" fillId="0" borderId="0" xfId="0" applyNumberFormat="1" applyFont="1" applyFill="1" applyBorder="1" applyAlignment="1">
      <alignment horizontal="right" vertical="center"/>
    </xf>
    <xf numFmtId="200" fontId="68" fillId="0" borderId="0" xfId="0" applyNumberFormat="1" applyFont="1" applyFill="1" applyBorder="1" applyAlignment="1">
      <alignment horizontal="right" vertical="center"/>
    </xf>
    <xf numFmtId="2" fontId="68" fillId="0" borderId="0" xfId="0" applyNumberFormat="1" applyFont="1" applyFill="1" applyAlignment="1">
      <alignment horizontal="right" vertical="center"/>
    </xf>
    <xf numFmtId="0" fontId="73" fillId="0" borderId="0" xfId="0" applyFont="1" applyFill="1" applyAlignment="1">
      <alignment horizontal="center" vertical="center"/>
    </xf>
    <xf numFmtId="197" fontId="68" fillId="0" borderId="0" xfId="0" applyNumberFormat="1" applyFont="1" applyFill="1" applyAlignment="1">
      <alignment horizontal="center" vertical="center"/>
    </xf>
    <xf numFmtId="197" fontId="73" fillId="0" borderId="0" xfId="0" applyNumberFormat="1" applyFont="1" applyFill="1" applyAlignment="1">
      <alignment horizontal="left" vertical="center"/>
    </xf>
    <xf numFmtId="197" fontId="73" fillId="0" borderId="0" xfId="0" applyNumberFormat="1" applyFont="1" applyFill="1" applyAlignment="1">
      <alignment horizontal="center" vertical="center"/>
    </xf>
    <xf numFmtId="200" fontId="67" fillId="0" borderId="0" xfId="0" applyNumberFormat="1" applyFont="1" applyFill="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01"/>
  <sheetViews>
    <sheetView tabSelected="1" view="pageBreakPreview" zoomScale="46" zoomScaleNormal="51" zoomScaleSheetLayoutView="46" workbookViewId="0" topLeftCell="B1">
      <selection activeCell="F14" sqref="F14"/>
    </sheetView>
  </sheetViews>
  <sheetFormatPr defaultColWidth="9.125" defaultRowHeight="24" customHeight="1"/>
  <cols>
    <col min="1" max="1" width="15.125" style="276" hidden="1" customWidth="1"/>
    <col min="2" max="2" width="14.375" style="276" customWidth="1"/>
    <col min="3" max="4" width="11.375" style="276" customWidth="1"/>
    <col min="5" max="5" width="58.00390625" style="277" customWidth="1"/>
    <col min="6" max="6" width="16.50390625" style="279" customWidth="1"/>
    <col min="7" max="7" width="16.625" style="39" customWidth="1"/>
    <col min="8" max="8" width="16.375" style="39" customWidth="1"/>
    <col min="9" max="9" width="19.00390625" style="39" customWidth="1"/>
    <col min="10" max="10" width="14.00390625" style="229" hidden="1" customWidth="1"/>
    <col min="11" max="12" width="20.125" style="229" customWidth="1"/>
    <col min="13" max="13" width="19.125" style="278" customWidth="1"/>
    <col min="14" max="14" width="8.625" style="39" hidden="1" customWidth="1"/>
    <col min="15" max="15" width="17.00390625" style="252" hidden="1" customWidth="1"/>
    <col min="16" max="16" width="15.50390625" style="39" customWidth="1"/>
    <col min="17" max="17" width="13.50390625" style="39" customWidth="1"/>
    <col min="18" max="18" width="15.50390625" style="39" customWidth="1"/>
    <col min="19" max="19" width="11.50390625" style="39" customWidth="1"/>
    <col min="20" max="20" width="12.00390625" style="39" hidden="1" customWidth="1"/>
    <col min="21" max="21" width="22.00390625" style="39" customWidth="1"/>
    <col min="22" max="22" width="19.50390625" style="39" customWidth="1"/>
    <col min="23" max="23" width="15.625" style="252" customWidth="1"/>
    <col min="24" max="24" width="7.625" style="252" hidden="1" customWidth="1"/>
    <col min="25" max="25" width="9.50390625" style="252" hidden="1" customWidth="1"/>
    <col min="26" max="26" width="20.875" style="39" customWidth="1"/>
    <col min="27" max="27" width="18.375" style="39" customWidth="1"/>
    <col min="28" max="28" width="21.125" style="39" customWidth="1"/>
    <col min="29" max="29" width="16.125" style="39" customWidth="1"/>
    <col min="30" max="30" width="16.375" style="39" customWidth="1"/>
    <col min="31" max="31" width="18.875" style="256" customWidth="1"/>
    <col min="32" max="34" width="23.125" style="38" customWidth="1"/>
    <col min="35" max="35" width="21.50390625" style="39" customWidth="1"/>
    <col min="36" max="36" width="24.375" style="39" customWidth="1"/>
    <col min="37" max="37" width="20.625" style="39" customWidth="1"/>
    <col min="38" max="38" width="14.875" style="39" customWidth="1"/>
    <col min="39" max="39" width="28.00390625" style="39" customWidth="1"/>
    <col min="40" max="40" width="18.50390625" style="39" customWidth="1"/>
    <col min="41" max="41" width="17.625" style="39" customWidth="1"/>
    <col min="42" max="42" width="11.125" style="39" customWidth="1"/>
    <col min="43" max="53" width="8.625" style="39" customWidth="1"/>
    <col min="54" max="16384" width="9.125" style="39" customWidth="1"/>
  </cols>
  <sheetData>
    <row r="1" spans="1:31" s="10" customFormat="1" ht="33.75" customHeight="1">
      <c r="A1" s="2"/>
      <c r="B1" s="2"/>
      <c r="C1" s="2"/>
      <c r="D1" s="2"/>
      <c r="E1" s="3"/>
      <c r="F1" s="4"/>
      <c r="G1" s="5"/>
      <c r="H1" s="5"/>
      <c r="I1" s="5"/>
      <c r="J1" s="6"/>
      <c r="K1" s="6"/>
      <c r="L1" s="6"/>
      <c r="M1" s="7"/>
      <c r="N1" s="5"/>
      <c r="O1" s="8"/>
      <c r="P1" s="5"/>
      <c r="Q1" s="5"/>
      <c r="R1" s="5"/>
      <c r="S1" s="5"/>
      <c r="T1" s="5"/>
      <c r="U1" s="5"/>
      <c r="V1" s="9" t="s">
        <v>580</v>
      </c>
      <c r="X1" s="11"/>
      <c r="Y1" s="5"/>
      <c r="Z1" s="5"/>
      <c r="AA1" s="5"/>
      <c r="AB1" s="11"/>
      <c r="AC1" s="12"/>
      <c r="AD1" s="5"/>
      <c r="AE1" s="13"/>
    </row>
    <row r="2" spans="1:31" s="10" customFormat="1" ht="29.25" customHeight="1">
      <c r="A2" s="2"/>
      <c r="B2" s="2"/>
      <c r="C2" s="2"/>
      <c r="D2" s="2"/>
      <c r="E2" s="3"/>
      <c r="F2" s="4"/>
      <c r="G2" s="5"/>
      <c r="H2" s="5"/>
      <c r="I2" s="5"/>
      <c r="J2" s="6"/>
      <c r="K2" s="6"/>
      <c r="L2" s="6"/>
      <c r="M2" s="7"/>
      <c r="N2" s="5"/>
      <c r="O2" s="8"/>
      <c r="P2" s="5"/>
      <c r="Q2" s="5"/>
      <c r="R2" s="5"/>
      <c r="S2" s="5"/>
      <c r="T2" s="5"/>
      <c r="U2" s="5"/>
      <c r="V2" s="14" t="s">
        <v>633</v>
      </c>
      <c r="X2" s="15"/>
      <c r="Y2" s="5"/>
      <c r="Z2" s="5"/>
      <c r="AA2" s="5"/>
      <c r="AB2" s="15"/>
      <c r="AC2" s="12"/>
      <c r="AD2" s="5"/>
      <c r="AE2" s="13"/>
    </row>
    <row r="3" spans="1:31" s="10" customFormat="1" ht="31.5" customHeight="1">
      <c r="A3" s="2"/>
      <c r="B3" s="2"/>
      <c r="C3" s="2"/>
      <c r="D3" s="2"/>
      <c r="E3" s="3"/>
      <c r="F3" s="4"/>
      <c r="G3" s="5"/>
      <c r="H3" s="5"/>
      <c r="I3" s="5"/>
      <c r="J3" s="6"/>
      <c r="K3" s="6"/>
      <c r="L3" s="6"/>
      <c r="M3" s="7"/>
      <c r="N3" s="5"/>
      <c r="O3" s="8"/>
      <c r="P3" s="5"/>
      <c r="Q3" s="5"/>
      <c r="R3" s="5"/>
      <c r="S3" s="5"/>
      <c r="T3" s="5"/>
      <c r="U3" s="5"/>
      <c r="V3" s="14" t="s">
        <v>708</v>
      </c>
      <c r="X3" s="15"/>
      <c r="Y3" s="5"/>
      <c r="Z3" s="5"/>
      <c r="AA3" s="5"/>
      <c r="AB3" s="15"/>
      <c r="AC3" s="12"/>
      <c r="AD3" s="5"/>
      <c r="AE3" s="13"/>
    </row>
    <row r="4" spans="1:40" s="10" customFormat="1" ht="17.25" customHeight="1">
      <c r="A4" s="2"/>
      <c r="B4" s="2"/>
      <c r="C4" s="2"/>
      <c r="D4" s="16"/>
      <c r="E4" s="17"/>
      <c r="F4" s="18"/>
      <c r="G4" s="19"/>
      <c r="H4" s="20"/>
      <c r="I4" s="20"/>
      <c r="J4" s="21"/>
      <c r="K4" s="21"/>
      <c r="L4" s="21"/>
      <c r="M4" s="7"/>
      <c r="N4" s="5"/>
      <c r="O4" s="8"/>
      <c r="P4" s="5"/>
      <c r="Q4" s="22"/>
      <c r="R4" s="5"/>
      <c r="S4" s="5"/>
      <c r="T4" s="5"/>
      <c r="U4" s="22"/>
      <c r="V4" s="22"/>
      <c r="W4" s="8"/>
      <c r="X4" s="8"/>
      <c r="Y4" s="8"/>
      <c r="Z4" s="23"/>
      <c r="AA4" s="23"/>
      <c r="AB4" s="5"/>
      <c r="AC4" s="5"/>
      <c r="AD4" s="5"/>
      <c r="AE4" s="24"/>
      <c r="AF4" s="25"/>
      <c r="AG4" s="25"/>
      <c r="AH4" s="25"/>
      <c r="AI4" s="26"/>
      <c r="AJ4" s="26"/>
      <c r="AK4" s="26"/>
      <c r="AL4" s="26"/>
      <c r="AM4" s="26"/>
      <c r="AN4" s="26"/>
    </row>
    <row r="5" spans="1:37" s="10" customFormat="1" ht="39.75" customHeight="1">
      <c r="A5" s="27" t="s">
        <v>423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8"/>
      <c r="AG5" s="28"/>
      <c r="AH5" s="28"/>
      <c r="AI5" s="29"/>
      <c r="AJ5" s="29"/>
      <c r="AK5" s="29"/>
    </row>
    <row r="6" spans="1:37" s="10" customFormat="1" ht="27.75" customHeight="1">
      <c r="A6" s="27" t="s">
        <v>624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8"/>
      <c r="AG6" s="28"/>
      <c r="AH6" s="28"/>
      <c r="AI6" s="29"/>
      <c r="AJ6" s="29"/>
      <c r="AK6" s="29"/>
    </row>
    <row r="7" spans="1:37" s="10" customFormat="1" ht="27.75" customHeight="1">
      <c r="A7" s="30"/>
      <c r="B7" s="30"/>
      <c r="C7" s="30"/>
      <c r="D7" s="30"/>
      <c r="E7" s="30"/>
      <c r="F7" s="30"/>
      <c r="G7" s="30"/>
      <c r="H7" s="30"/>
      <c r="I7" s="30"/>
      <c r="J7" s="30"/>
      <c r="K7" s="30"/>
      <c r="L7" s="30"/>
      <c r="M7" s="30"/>
      <c r="N7" s="30"/>
      <c r="O7" s="31"/>
      <c r="P7" s="30"/>
      <c r="Q7" s="30"/>
      <c r="R7" s="30"/>
      <c r="S7" s="30"/>
      <c r="T7" s="30"/>
      <c r="U7" s="30"/>
      <c r="V7" s="30"/>
      <c r="W7" s="30"/>
      <c r="X7" s="30"/>
      <c r="Y7" s="30"/>
      <c r="Z7" s="30"/>
      <c r="AA7" s="30"/>
      <c r="AB7" s="30"/>
      <c r="AC7" s="30"/>
      <c r="AD7" s="30"/>
      <c r="AE7" s="32" t="s">
        <v>247</v>
      </c>
      <c r="AF7" s="28"/>
      <c r="AG7" s="28"/>
      <c r="AH7" s="28"/>
      <c r="AI7" s="29"/>
      <c r="AJ7" s="29"/>
      <c r="AK7" s="29"/>
    </row>
    <row r="8" spans="1:34" s="39" customFormat="1" ht="27" customHeight="1">
      <c r="A8" s="33"/>
      <c r="B8" s="34" t="s">
        <v>352</v>
      </c>
      <c r="C8" s="34" t="s">
        <v>353</v>
      </c>
      <c r="D8" s="34" t="s">
        <v>354</v>
      </c>
      <c r="E8" s="35" t="s">
        <v>416</v>
      </c>
      <c r="F8" s="36"/>
      <c r="G8" s="36"/>
      <c r="H8" s="36"/>
      <c r="I8" s="36"/>
      <c r="J8" s="36"/>
      <c r="K8" s="36"/>
      <c r="L8" s="36"/>
      <c r="M8" s="36"/>
      <c r="N8" s="36"/>
      <c r="O8" s="36"/>
      <c r="P8" s="36"/>
      <c r="Q8" s="36"/>
      <c r="R8" s="36"/>
      <c r="S8" s="36"/>
      <c r="T8" s="36"/>
      <c r="U8" s="36"/>
      <c r="V8" s="36"/>
      <c r="W8" s="36"/>
      <c r="X8" s="36"/>
      <c r="Y8" s="36"/>
      <c r="Z8" s="36"/>
      <c r="AA8" s="36"/>
      <c r="AB8" s="36"/>
      <c r="AC8" s="36"/>
      <c r="AD8" s="36"/>
      <c r="AE8" s="37"/>
      <c r="AF8" s="38"/>
      <c r="AG8" s="38"/>
      <c r="AH8" s="38"/>
    </row>
    <row r="9" spans="1:34" s="39" customFormat="1" ht="48" customHeight="1">
      <c r="A9" s="40" t="s">
        <v>271</v>
      </c>
      <c r="B9" s="34"/>
      <c r="C9" s="34"/>
      <c r="D9" s="34"/>
      <c r="E9" s="41" t="s">
        <v>355</v>
      </c>
      <c r="F9" s="42" t="s">
        <v>248</v>
      </c>
      <c r="G9" s="43" t="s">
        <v>314</v>
      </c>
      <c r="H9" s="43" t="s">
        <v>320</v>
      </c>
      <c r="I9" s="43" t="s">
        <v>249</v>
      </c>
      <c r="J9" s="44" t="s">
        <v>321</v>
      </c>
      <c r="K9" s="44" t="s">
        <v>322</v>
      </c>
      <c r="L9" s="44" t="s">
        <v>334</v>
      </c>
      <c r="M9" s="45" t="s">
        <v>323</v>
      </c>
      <c r="N9" s="46"/>
      <c r="O9" s="45" t="s">
        <v>252</v>
      </c>
      <c r="P9" s="43" t="s">
        <v>313</v>
      </c>
      <c r="Q9" s="43" t="s">
        <v>324</v>
      </c>
      <c r="R9" s="43" t="s">
        <v>307</v>
      </c>
      <c r="S9" s="47" t="s">
        <v>256</v>
      </c>
      <c r="T9" s="46"/>
      <c r="U9" s="48" t="s">
        <v>273</v>
      </c>
      <c r="V9" s="43" t="s">
        <v>325</v>
      </c>
      <c r="W9" s="49" t="s">
        <v>253</v>
      </c>
      <c r="X9" s="50"/>
      <c r="Y9" s="45" t="s">
        <v>351</v>
      </c>
      <c r="Z9" s="43" t="s">
        <v>255</v>
      </c>
      <c r="AA9" s="43" t="s">
        <v>259</v>
      </c>
      <c r="AB9" s="43" t="s">
        <v>257</v>
      </c>
      <c r="AC9" s="47" t="s">
        <v>312</v>
      </c>
      <c r="AD9" s="51" t="s">
        <v>301</v>
      </c>
      <c r="AE9" s="52" t="s">
        <v>274</v>
      </c>
      <c r="AF9" s="38"/>
      <c r="AG9" s="38"/>
      <c r="AH9" s="38"/>
    </row>
    <row r="10" spans="1:37" s="64" customFormat="1" ht="96.75" customHeight="1">
      <c r="A10" s="53"/>
      <c r="B10" s="34"/>
      <c r="C10" s="34"/>
      <c r="D10" s="34"/>
      <c r="E10" s="54" t="s">
        <v>356</v>
      </c>
      <c r="F10" s="55"/>
      <c r="G10" s="51"/>
      <c r="H10" s="51"/>
      <c r="I10" s="51"/>
      <c r="J10" s="56"/>
      <c r="K10" s="56"/>
      <c r="L10" s="56"/>
      <c r="M10" s="57"/>
      <c r="N10" s="58" t="s">
        <v>250</v>
      </c>
      <c r="O10" s="57"/>
      <c r="P10" s="51"/>
      <c r="Q10" s="51"/>
      <c r="R10" s="51"/>
      <c r="S10" s="43"/>
      <c r="T10" s="59" t="s">
        <v>335</v>
      </c>
      <c r="U10" s="60"/>
      <c r="V10" s="51"/>
      <c r="W10" s="45"/>
      <c r="X10" s="61" t="s">
        <v>346</v>
      </c>
      <c r="Y10" s="57"/>
      <c r="Z10" s="51"/>
      <c r="AA10" s="51"/>
      <c r="AB10" s="51"/>
      <c r="AC10" s="43"/>
      <c r="AD10" s="51"/>
      <c r="AE10" s="52"/>
      <c r="AF10" s="62"/>
      <c r="AG10" s="62"/>
      <c r="AH10" s="62"/>
      <c r="AI10" s="63"/>
      <c r="AJ10" s="63"/>
      <c r="AK10" s="63"/>
    </row>
    <row r="11" spans="1:37" s="75" customFormat="1" ht="30" customHeight="1">
      <c r="A11" s="65"/>
      <c r="B11" s="34"/>
      <c r="C11" s="34"/>
      <c r="D11" s="34"/>
      <c r="E11" s="66"/>
      <c r="F11" s="67">
        <v>2110</v>
      </c>
      <c r="G11" s="68">
        <v>2111</v>
      </c>
      <c r="H11" s="68">
        <v>2120</v>
      </c>
      <c r="I11" s="68">
        <v>2210</v>
      </c>
      <c r="J11" s="69">
        <v>2220</v>
      </c>
      <c r="K11" s="69">
        <v>2230</v>
      </c>
      <c r="L11" s="69">
        <v>2240</v>
      </c>
      <c r="M11" s="69">
        <v>2250</v>
      </c>
      <c r="N11" s="68">
        <v>2260</v>
      </c>
      <c r="O11" s="70">
        <v>2270</v>
      </c>
      <c r="P11" s="68">
        <v>2271</v>
      </c>
      <c r="Q11" s="68">
        <v>2272</v>
      </c>
      <c r="R11" s="68">
        <v>2273</v>
      </c>
      <c r="S11" s="71">
        <v>2275</v>
      </c>
      <c r="T11" s="72">
        <v>2281</v>
      </c>
      <c r="U11" s="67">
        <v>2282</v>
      </c>
      <c r="V11" s="68">
        <v>2610</v>
      </c>
      <c r="W11" s="69">
        <v>2620</v>
      </c>
      <c r="X11" s="69">
        <v>2710</v>
      </c>
      <c r="Y11" s="69">
        <v>2720</v>
      </c>
      <c r="Z11" s="68">
        <v>2730</v>
      </c>
      <c r="AA11" s="68">
        <v>2800</v>
      </c>
      <c r="AB11" s="68">
        <v>2000</v>
      </c>
      <c r="AC11" s="68">
        <v>3220</v>
      </c>
      <c r="AD11" s="68">
        <v>9000</v>
      </c>
      <c r="AE11" s="52"/>
      <c r="AF11" s="73"/>
      <c r="AG11" s="73"/>
      <c r="AH11" s="73"/>
      <c r="AI11" s="74"/>
      <c r="AJ11" s="74"/>
      <c r="AK11" s="74"/>
    </row>
    <row r="12" spans="1:42" s="64" customFormat="1" ht="44.25" customHeight="1">
      <c r="A12" s="76"/>
      <c r="B12" s="77" t="s">
        <v>449</v>
      </c>
      <c r="C12" s="77"/>
      <c r="D12" s="77"/>
      <c r="E12" s="78" t="s">
        <v>709</v>
      </c>
      <c r="F12" s="79"/>
      <c r="G12" s="80"/>
      <c r="H12" s="80"/>
      <c r="I12" s="80"/>
      <c r="J12" s="80"/>
      <c r="K12" s="80"/>
      <c r="L12" s="80"/>
      <c r="M12" s="81"/>
      <c r="N12" s="80"/>
      <c r="O12" s="80"/>
      <c r="P12" s="80"/>
      <c r="Q12" s="80"/>
      <c r="R12" s="80"/>
      <c r="S12" s="80"/>
      <c r="T12" s="80"/>
      <c r="U12" s="80"/>
      <c r="V12" s="82"/>
      <c r="W12" s="82"/>
      <c r="X12" s="82"/>
      <c r="Y12" s="82"/>
      <c r="Z12" s="82"/>
      <c r="AA12" s="82"/>
      <c r="AB12" s="80"/>
      <c r="AC12" s="83"/>
      <c r="AD12" s="84"/>
      <c r="AE12" s="85"/>
      <c r="AF12" s="86"/>
      <c r="AG12" s="86"/>
      <c r="AH12" s="86"/>
      <c r="AI12" s="87"/>
      <c r="AJ12" s="87"/>
      <c r="AK12" s="88"/>
      <c r="AL12" s="89"/>
      <c r="AM12" s="90"/>
      <c r="AN12" s="91"/>
      <c r="AO12" s="91"/>
      <c r="AP12" s="92"/>
    </row>
    <row r="13" spans="1:42" s="64" customFormat="1" ht="45" customHeight="1">
      <c r="A13" s="76"/>
      <c r="B13" s="93" t="s">
        <v>448</v>
      </c>
      <c r="C13" s="77"/>
      <c r="D13" s="77"/>
      <c r="E13" s="78" t="s">
        <v>710</v>
      </c>
      <c r="F13" s="94"/>
      <c r="G13" s="80"/>
      <c r="H13" s="80"/>
      <c r="I13" s="80"/>
      <c r="J13" s="80"/>
      <c r="K13" s="80"/>
      <c r="L13" s="95"/>
      <c r="M13" s="81"/>
      <c r="N13" s="80"/>
      <c r="O13" s="80"/>
      <c r="P13" s="80"/>
      <c r="Q13" s="80"/>
      <c r="R13" s="80"/>
      <c r="S13" s="80"/>
      <c r="T13" s="80"/>
      <c r="U13" s="80"/>
      <c r="V13" s="80"/>
      <c r="W13" s="80"/>
      <c r="X13" s="80"/>
      <c r="Y13" s="80"/>
      <c r="Z13" s="80"/>
      <c r="AA13" s="80"/>
      <c r="AB13" s="80"/>
      <c r="AC13" s="80"/>
      <c r="AD13" s="80"/>
      <c r="AE13" s="96"/>
      <c r="AF13" s="97"/>
      <c r="AG13" s="97"/>
      <c r="AH13" s="97"/>
      <c r="AI13" s="98"/>
      <c r="AJ13" s="98"/>
      <c r="AK13" s="99"/>
      <c r="AL13" s="89"/>
      <c r="AM13" s="90"/>
      <c r="AN13" s="100"/>
      <c r="AO13" s="91"/>
      <c r="AP13" s="92"/>
    </row>
    <row r="14" spans="1:42" s="64" customFormat="1" ht="96" customHeight="1">
      <c r="A14" s="76" t="s">
        <v>260</v>
      </c>
      <c r="B14" s="101" t="s">
        <v>445</v>
      </c>
      <c r="C14" s="101" t="s">
        <v>446</v>
      </c>
      <c r="D14" s="101" t="s">
        <v>261</v>
      </c>
      <c r="E14" s="102" t="s">
        <v>220</v>
      </c>
      <c r="F14" s="80">
        <f>SUM(G14:H14)</f>
        <v>1726162</v>
      </c>
      <c r="G14" s="32">
        <f aca="true" t="shared" si="0" ref="G14:Z14">SUM(G15:G17)</f>
        <v>1358250</v>
      </c>
      <c r="H14" s="32">
        <f t="shared" si="0"/>
        <v>367912</v>
      </c>
      <c r="I14" s="103">
        <f t="shared" si="0"/>
        <v>20000</v>
      </c>
      <c r="J14" s="32">
        <f t="shared" si="0"/>
        <v>0</v>
      </c>
      <c r="K14" s="32">
        <f t="shared" si="0"/>
        <v>0</v>
      </c>
      <c r="L14" s="103">
        <f t="shared" si="0"/>
        <v>0</v>
      </c>
      <c r="M14" s="32">
        <f t="shared" si="0"/>
        <v>0</v>
      </c>
      <c r="N14" s="32">
        <f t="shared" si="0"/>
        <v>0</v>
      </c>
      <c r="O14" s="80">
        <f t="shared" si="0"/>
        <v>0</v>
      </c>
      <c r="P14" s="32">
        <f t="shared" si="0"/>
        <v>-10000</v>
      </c>
      <c r="Q14" s="32">
        <f t="shared" si="0"/>
        <v>0</v>
      </c>
      <c r="R14" s="32">
        <f t="shared" si="0"/>
        <v>10000</v>
      </c>
      <c r="S14" s="32">
        <f t="shared" si="0"/>
        <v>0</v>
      </c>
      <c r="T14" s="32">
        <f t="shared" si="0"/>
        <v>0</v>
      </c>
      <c r="U14" s="32">
        <f t="shared" si="0"/>
        <v>0</v>
      </c>
      <c r="V14" s="32">
        <f t="shared" si="0"/>
        <v>0</v>
      </c>
      <c r="W14" s="32">
        <f t="shared" si="0"/>
        <v>0</v>
      </c>
      <c r="X14" s="32">
        <f t="shared" si="0"/>
        <v>0</v>
      </c>
      <c r="Y14" s="32">
        <f t="shared" si="0"/>
        <v>0</v>
      </c>
      <c r="Z14" s="32">
        <f t="shared" si="0"/>
        <v>0</v>
      </c>
      <c r="AA14" s="32">
        <f>SUM(AA15:AA17)</f>
        <v>-5000000</v>
      </c>
      <c r="AB14" s="103">
        <f>SUM(G14:AA14)-O14</f>
        <v>-3253838</v>
      </c>
      <c r="AC14" s="103">
        <f aca="true" t="shared" si="1" ref="AC14:AD16">SUM(AC15)</f>
        <v>0</v>
      </c>
      <c r="AD14" s="103">
        <f t="shared" si="1"/>
        <v>0</v>
      </c>
      <c r="AE14" s="104">
        <f>SUM(AB14:AD14)</f>
        <v>-3253838</v>
      </c>
      <c r="AF14" s="105"/>
      <c r="AG14" s="105"/>
      <c r="AH14" s="105"/>
      <c r="AI14" s="106"/>
      <c r="AJ14" s="106"/>
      <c r="AK14" s="99"/>
      <c r="AL14" s="89"/>
      <c r="AM14" s="90"/>
      <c r="AN14" s="100"/>
      <c r="AO14" s="91"/>
      <c r="AP14" s="92"/>
    </row>
    <row r="15" spans="1:42" s="64" customFormat="1" ht="42" customHeight="1">
      <c r="A15" s="76"/>
      <c r="B15" s="107"/>
      <c r="C15" s="107"/>
      <c r="D15" s="107"/>
      <c r="E15" s="108" t="s">
        <v>447</v>
      </c>
      <c r="F15" s="80">
        <f aca="true" t="shared" si="2" ref="F15:F96">SUM(G15:H15)</f>
        <v>1726162</v>
      </c>
      <c r="G15" s="32">
        <v>1358250</v>
      </c>
      <c r="H15" s="109">
        <v>367912</v>
      </c>
      <c r="I15" s="110"/>
      <c r="J15" s="110"/>
      <c r="K15" s="110"/>
      <c r="L15" s="110"/>
      <c r="M15" s="110"/>
      <c r="N15" s="110"/>
      <c r="O15" s="95"/>
      <c r="P15" s="110">
        <v>-10000</v>
      </c>
      <c r="Q15" s="110"/>
      <c r="R15" s="110">
        <v>10000</v>
      </c>
      <c r="S15" s="110"/>
      <c r="T15" s="110"/>
      <c r="U15" s="110"/>
      <c r="V15" s="110"/>
      <c r="W15" s="110"/>
      <c r="X15" s="110"/>
      <c r="Y15" s="110"/>
      <c r="Z15" s="110"/>
      <c r="AA15" s="109"/>
      <c r="AB15" s="103">
        <f>SUM(G15:AA15)-O15</f>
        <v>1726162</v>
      </c>
      <c r="AC15" s="103">
        <f t="shared" si="1"/>
        <v>0</v>
      </c>
      <c r="AD15" s="103">
        <f t="shared" si="1"/>
        <v>0</v>
      </c>
      <c r="AE15" s="104">
        <f>SUM(AB15:AD15)</f>
        <v>1726162</v>
      </c>
      <c r="AF15" s="111"/>
      <c r="AG15" s="111"/>
      <c r="AH15" s="111"/>
      <c r="AI15" s="106"/>
      <c r="AJ15" s="106"/>
      <c r="AK15" s="99"/>
      <c r="AL15" s="89"/>
      <c r="AM15" s="90"/>
      <c r="AN15" s="100"/>
      <c r="AO15" s="91"/>
      <c r="AP15" s="92"/>
    </row>
    <row r="16" spans="1:42" s="64" customFormat="1" ht="114" customHeight="1">
      <c r="A16" s="76"/>
      <c r="B16" s="107"/>
      <c r="C16" s="107"/>
      <c r="D16" s="107"/>
      <c r="E16" s="108" t="s">
        <v>680</v>
      </c>
      <c r="F16" s="80">
        <f t="shared" si="2"/>
        <v>0</v>
      </c>
      <c r="G16" s="103"/>
      <c r="H16" s="110"/>
      <c r="I16" s="110">
        <v>20000</v>
      </c>
      <c r="J16" s="110"/>
      <c r="K16" s="110"/>
      <c r="L16" s="110"/>
      <c r="M16" s="110"/>
      <c r="N16" s="110"/>
      <c r="O16" s="95"/>
      <c r="P16" s="110"/>
      <c r="Q16" s="110"/>
      <c r="R16" s="110"/>
      <c r="S16" s="110"/>
      <c r="T16" s="110"/>
      <c r="U16" s="110"/>
      <c r="V16" s="110"/>
      <c r="W16" s="110"/>
      <c r="X16" s="110"/>
      <c r="Y16" s="110"/>
      <c r="Z16" s="110"/>
      <c r="AA16" s="109"/>
      <c r="AB16" s="103">
        <f>SUM(G16:AA16)-O16</f>
        <v>20000</v>
      </c>
      <c r="AC16" s="103">
        <f t="shared" si="1"/>
        <v>0</v>
      </c>
      <c r="AD16" s="103">
        <f t="shared" si="1"/>
        <v>0</v>
      </c>
      <c r="AE16" s="104">
        <f>SUM(AB16:AD16)</f>
        <v>20000</v>
      </c>
      <c r="AF16" s="111"/>
      <c r="AG16" s="112"/>
      <c r="AH16" s="112"/>
      <c r="AI16" s="106"/>
      <c r="AJ16" s="106"/>
      <c r="AK16" s="99"/>
      <c r="AL16" s="89"/>
      <c r="AM16" s="90"/>
      <c r="AN16" s="100"/>
      <c r="AO16" s="91"/>
      <c r="AP16" s="92"/>
    </row>
    <row r="17" spans="1:42" s="64" customFormat="1" ht="93.75" customHeight="1">
      <c r="A17" s="76"/>
      <c r="B17" s="107"/>
      <c r="C17" s="107"/>
      <c r="D17" s="107"/>
      <c r="E17" s="108" t="s">
        <v>609</v>
      </c>
      <c r="F17" s="80">
        <f t="shared" si="2"/>
        <v>0</v>
      </c>
      <c r="G17" s="103"/>
      <c r="H17" s="110"/>
      <c r="I17" s="110"/>
      <c r="J17" s="110"/>
      <c r="K17" s="110"/>
      <c r="L17" s="110"/>
      <c r="M17" s="110"/>
      <c r="N17" s="110"/>
      <c r="O17" s="95"/>
      <c r="P17" s="110"/>
      <c r="Q17" s="110"/>
      <c r="R17" s="110"/>
      <c r="S17" s="110"/>
      <c r="T17" s="110"/>
      <c r="U17" s="110"/>
      <c r="V17" s="110"/>
      <c r="W17" s="110"/>
      <c r="X17" s="110"/>
      <c r="Y17" s="110"/>
      <c r="Z17" s="110"/>
      <c r="AA17" s="109">
        <v>-5000000</v>
      </c>
      <c r="AB17" s="32">
        <f>SUM(G17:AA17)-O17</f>
        <v>-5000000</v>
      </c>
      <c r="AC17" s="103"/>
      <c r="AD17" s="103"/>
      <c r="AE17" s="104">
        <f>SUM(AB17:AD17)</f>
        <v>-5000000</v>
      </c>
      <c r="AF17" s="113"/>
      <c r="AG17" s="113"/>
      <c r="AH17" s="113"/>
      <c r="AI17" s="106"/>
      <c r="AJ17" s="106"/>
      <c r="AK17" s="99"/>
      <c r="AL17" s="89"/>
      <c r="AM17" s="90"/>
      <c r="AN17" s="100"/>
      <c r="AO17" s="91"/>
      <c r="AP17" s="92"/>
    </row>
    <row r="18" spans="1:42" s="64" customFormat="1" ht="39" customHeight="1">
      <c r="A18" s="76"/>
      <c r="B18" s="101" t="s">
        <v>66</v>
      </c>
      <c r="C18" s="101" t="s">
        <v>263</v>
      </c>
      <c r="D18" s="101" t="s">
        <v>264</v>
      </c>
      <c r="E18" s="102" t="s">
        <v>67</v>
      </c>
      <c r="F18" s="80">
        <f t="shared" si="2"/>
        <v>0</v>
      </c>
      <c r="G18" s="103">
        <f aca="true" t="shared" si="3" ref="G18:AA18">SUM(G19:G20)</f>
        <v>0</v>
      </c>
      <c r="H18" s="103">
        <f t="shared" si="3"/>
        <v>0</v>
      </c>
      <c r="I18" s="103">
        <f t="shared" si="3"/>
        <v>0</v>
      </c>
      <c r="J18" s="103">
        <f t="shared" si="3"/>
        <v>0</v>
      </c>
      <c r="K18" s="103">
        <f t="shared" si="3"/>
        <v>0</v>
      </c>
      <c r="L18" s="103">
        <f t="shared" si="3"/>
        <v>0</v>
      </c>
      <c r="M18" s="103">
        <f t="shared" si="3"/>
        <v>0</v>
      </c>
      <c r="N18" s="103">
        <f t="shared" si="3"/>
        <v>0</v>
      </c>
      <c r="O18" s="103">
        <f t="shared" si="3"/>
        <v>0</v>
      </c>
      <c r="P18" s="103">
        <f t="shared" si="3"/>
        <v>0</v>
      </c>
      <c r="Q18" s="103">
        <f t="shared" si="3"/>
        <v>0</v>
      </c>
      <c r="R18" s="103">
        <f t="shared" si="3"/>
        <v>0</v>
      </c>
      <c r="S18" s="103">
        <f t="shared" si="3"/>
        <v>0</v>
      </c>
      <c r="T18" s="103">
        <f t="shared" si="3"/>
        <v>0</v>
      </c>
      <c r="U18" s="103">
        <f t="shared" si="3"/>
        <v>0</v>
      </c>
      <c r="V18" s="103">
        <f t="shared" si="3"/>
        <v>0</v>
      </c>
      <c r="W18" s="103">
        <f t="shared" si="3"/>
        <v>0</v>
      </c>
      <c r="X18" s="103">
        <f t="shared" si="3"/>
        <v>0</v>
      </c>
      <c r="Y18" s="103">
        <f t="shared" si="3"/>
        <v>0</v>
      </c>
      <c r="Z18" s="103">
        <f t="shared" si="3"/>
        <v>0</v>
      </c>
      <c r="AA18" s="103">
        <f t="shared" si="3"/>
        <v>0</v>
      </c>
      <c r="AB18" s="103">
        <f aca="true" t="shared" si="4" ref="AB18:AB33">SUM(G18:AA18)-O18</f>
        <v>0</v>
      </c>
      <c r="AC18" s="103"/>
      <c r="AD18" s="103"/>
      <c r="AE18" s="104">
        <f aca="true" t="shared" si="5" ref="AE18:AE33">SUM(AB18:AD18)</f>
        <v>0</v>
      </c>
      <c r="AF18" s="114"/>
      <c r="AG18" s="114"/>
      <c r="AH18" s="114"/>
      <c r="AI18" s="106"/>
      <c r="AJ18" s="106"/>
      <c r="AK18" s="99"/>
      <c r="AL18" s="89"/>
      <c r="AM18" s="90"/>
      <c r="AN18" s="100"/>
      <c r="AO18" s="91"/>
      <c r="AP18" s="92"/>
    </row>
    <row r="19" spans="1:42" s="64" customFormat="1" ht="61.5" customHeight="1">
      <c r="A19" s="76"/>
      <c r="B19" s="101"/>
      <c r="C19" s="101"/>
      <c r="D19" s="101"/>
      <c r="E19" s="1" t="s">
        <v>237</v>
      </c>
      <c r="F19" s="80">
        <f t="shared" si="2"/>
        <v>0</v>
      </c>
      <c r="G19" s="103"/>
      <c r="H19" s="110"/>
      <c r="I19" s="110"/>
      <c r="J19" s="110"/>
      <c r="K19" s="110"/>
      <c r="L19" s="110"/>
      <c r="M19" s="110"/>
      <c r="N19" s="110"/>
      <c r="O19" s="95"/>
      <c r="P19" s="110"/>
      <c r="Q19" s="110"/>
      <c r="R19" s="110"/>
      <c r="S19" s="110"/>
      <c r="T19" s="110"/>
      <c r="U19" s="110"/>
      <c r="V19" s="110"/>
      <c r="W19" s="110"/>
      <c r="X19" s="110"/>
      <c r="Y19" s="110"/>
      <c r="Z19" s="110"/>
      <c r="AA19" s="110"/>
      <c r="AB19" s="103">
        <f t="shared" si="4"/>
        <v>0</v>
      </c>
      <c r="AC19" s="103"/>
      <c r="AD19" s="103"/>
      <c r="AE19" s="104">
        <f t="shared" si="5"/>
        <v>0</v>
      </c>
      <c r="AF19" s="115"/>
      <c r="AG19" s="115"/>
      <c r="AH19" s="115"/>
      <c r="AI19" s="106"/>
      <c r="AJ19" s="106"/>
      <c r="AK19" s="99"/>
      <c r="AL19" s="89"/>
      <c r="AM19" s="90"/>
      <c r="AN19" s="100"/>
      <c r="AO19" s="91"/>
      <c r="AP19" s="92"/>
    </row>
    <row r="20" spans="1:42" s="64" customFormat="1" ht="42" customHeight="1">
      <c r="A20" s="76"/>
      <c r="B20" s="101"/>
      <c r="C20" s="101"/>
      <c r="D20" s="101"/>
      <c r="E20" s="1" t="s">
        <v>660</v>
      </c>
      <c r="F20" s="80">
        <f t="shared" si="2"/>
        <v>0</v>
      </c>
      <c r="G20" s="103"/>
      <c r="H20" s="110"/>
      <c r="I20" s="110"/>
      <c r="J20" s="110"/>
      <c r="K20" s="110"/>
      <c r="L20" s="110"/>
      <c r="M20" s="110"/>
      <c r="N20" s="110"/>
      <c r="O20" s="95"/>
      <c r="P20" s="110"/>
      <c r="Q20" s="110"/>
      <c r="R20" s="110"/>
      <c r="S20" s="110"/>
      <c r="T20" s="110"/>
      <c r="U20" s="110"/>
      <c r="V20" s="110"/>
      <c r="W20" s="110"/>
      <c r="X20" s="110"/>
      <c r="Y20" s="110"/>
      <c r="Z20" s="110"/>
      <c r="AA20" s="110"/>
      <c r="AB20" s="103">
        <f t="shared" si="4"/>
        <v>0</v>
      </c>
      <c r="AC20" s="103"/>
      <c r="AD20" s="103"/>
      <c r="AE20" s="104">
        <f t="shared" si="5"/>
        <v>0</v>
      </c>
      <c r="AF20" s="115"/>
      <c r="AG20" s="115"/>
      <c r="AH20" s="115"/>
      <c r="AI20" s="106"/>
      <c r="AJ20" s="106"/>
      <c r="AK20" s="99"/>
      <c r="AL20" s="89"/>
      <c r="AM20" s="90"/>
      <c r="AN20" s="100"/>
      <c r="AO20" s="91"/>
      <c r="AP20" s="92"/>
    </row>
    <row r="21" spans="1:42" s="64" customFormat="1" ht="42" customHeight="1">
      <c r="A21" s="76"/>
      <c r="B21" s="101" t="s">
        <v>684</v>
      </c>
      <c r="C21" s="101" t="s">
        <v>685</v>
      </c>
      <c r="D21" s="101" t="s">
        <v>317</v>
      </c>
      <c r="E21" s="116" t="s">
        <v>711</v>
      </c>
      <c r="F21" s="80">
        <f t="shared" si="2"/>
        <v>842193</v>
      </c>
      <c r="G21" s="103">
        <v>690322</v>
      </c>
      <c r="H21" s="110">
        <v>151871</v>
      </c>
      <c r="I21" s="110">
        <f>4400+386269-8408</f>
        <v>382261</v>
      </c>
      <c r="J21" s="110"/>
      <c r="K21" s="110"/>
      <c r="L21" s="109">
        <f>149510-936.32</f>
        <v>148573.68</v>
      </c>
      <c r="M21" s="110"/>
      <c r="N21" s="110"/>
      <c r="O21" s="95"/>
      <c r="P21" s="110"/>
      <c r="Q21" s="110"/>
      <c r="R21" s="109">
        <v>936.32</v>
      </c>
      <c r="S21" s="110"/>
      <c r="T21" s="110"/>
      <c r="U21" s="110"/>
      <c r="V21" s="110"/>
      <c r="W21" s="110"/>
      <c r="X21" s="110"/>
      <c r="Y21" s="110"/>
      <c r="Z21" s="110"/>
      <c r="AA21" s="110">
        <v>8408</v>
      </c>
      <c r="AB21" s="103">
        <f>SUM(G21:AA21)-O21</f>
        <v>1382372</v>
      </c>
      <c r="AC21" s="103"/>
      <c r="AD21" s="103"/>
      <c r="AE21" s="104">
        <f>SUM(AB21:AD21)</f>
        <v>1382372</v>
      </c>
      <c r="AF21" s="115"/>
      <c r="AG21" s="115"/>
      <c r="AH21" s="115"/>
      <c r="AI21" s="106"/>
      <c r="AJ21" s="106"/>
      <c r="AK21" s="99"/>
      <c r="AL21" s="89"/>
      <c r="AM21" s="90"/>
      <c r="AN21" s="100"/>
      <c r="AO21" s="91"/>
      <c r="AP21" s="92"/>
    </row>
    <row r="22" spans="1:42" s="64" customFormat="1" ht="57.75" customHeight="1" hidden="1">
      <c r="A22" s="76"/>
      <c r="B22" s="101" t="s">
        <v>603</v>
      </c>
      <c r="C22" s="101" t="s">
        <v>122</v>
      </c>
      <c r="D22" s="101" t="s">
        <v>268</v>
      </c>
      <c r="E22" s="102" t="s">
        <v>120</v>
      </c>
      <c r="F22" s="80">
        <f t="shared" si="2"/>
        <v>0</v>
      </c>
      <c r="G22" s="103"/>
      <c r="H22" s="110"/>
      <c r="I22" s="110"/>
      <c r="J22" s="110"/>
      <c r="K22" s="110"/>
      <c r="L22" s="110"/>
      <c r="M22" s="110"/>
      <c r="N22" s="110"/>
      <c r="O22" s="95"/>
      <c r="P22" s="110"/>
      <c r="Q22" s="110"/>
      <c r="R22" s="110"/>
      <c r="S22" s="110"/>
      <c r="T22" s="110"/>
      <c r="U22" s="110"/>
      <c r="V22" s="110"/>
      <c r="W22" s="110"/>
      <c r="X22" s="110"/>
      <c r="Y22" s="110"/>
      <c r="Z22" s="110"/>
      <c r="AA22" s="109"/>
      <c r="AB22" s="32">
        <f>SUM(G22:AA22)-O22</f>
        <v>0</v>
      </c>
      <c r="AC22" s="103"/>
      <c r="AD22" s="103"/>
      <c r="AE22" s="104">
        <f>SUM(AB22:AD22)</f>
        <v>0</v>
      </c>
      <c r="AF22" s="115"/>
      <c r="AG22" s="115"/>
      <c r="AH22" s="115"/>
      <c r="AI22" s="106"/>
      <c r="AJ22" s="106"/>
      <c r="AK22" s="99"/>
      <c r="AL22" s="89"/>
      <c r="AM22" s="90"/>
      <c r="AN22" s="100"/>
      <c r="AO22" s="91"/>
      <c r="AP22" s="92"/>
    </row>
    <row r="23" spans="1:42" s="64" customFormat="1" ht="156.75" customHeight="1" hidden="1">
      <c r="A23" s="76"/>
      <c r="B23" s="101"/>
      <c r="C23" s="101"/>
      <c r="D23" s="101"/>
      <c r="E23" s="108" t="s">
        <v>604</v>
      </c>
      <c r="F23" s="80">
        <f t="shared" si="2"/>
        <v>0</v>
      </c>
      <c r="G23" s="103"/>
      <c r="H23" s="110"/>
      <c r="I23" s="110"/>
      <c r="J23" s="110"/>
      <c r="K23" s="110"/>
      <c r="L23" s="110"/>
      <c r="M23" s="110"/>
      <c r="N23" s="110"/>
      <c r="O23" s="95"/>
      <c r="P23" s="110"/>
      <c r="Q23" s="110"/>
      <c r="R23" s="110"/>
      <c r="S23" s="110"/>
      <c r="T23" s="110"/>
      <c r="U23" s="110"/>
      <c r="V23" s="110"/>
      <c r="W23" s="110"/>
      <c r="X23" s="110"/>
      <c r="Y23" s="110"/>
      <c r="Z23" s="110"/>
      <c r="AA23" s="109"/>
      <c r="AB23" s="32">
        <f>SUM(G23:AA23)-O23</f>
        <v>0</v>
      </c>
      <c r="AC23" s="103"/>
      <c r="AD23" s="103"/>
      <c r="AE23" s="104">
        <f>SUM(AB23:AD23)</f>
        <v>0</v>
      </c>
      <c r="AF23" s="115"/>
      <c r="AG23" s="115"/>
      <c r="AH23" s="115"/>
      <c r="AI23" s="106"/>
      <c r="AJ23" s="106"/>
      <c r="AK23" s="99"/>
      <c r="AL23" s="89"/>
      <c r="AM23" s="90"/>
      <c r="AN23" s="100"/>
      <c r="AO23" s="91"/>
      <c r="AP23" s="92"/>
    </row>
    <row r="24" spans="1:42" s="64" customFormat="1" ht="45" customHeight="1" hidden="1">
      <c r="A24" s="76"/>
      <c r="B24" s="101" t="s">
        <v>531</v>
      </c>
      <c r="C24" s="101" t="s">
        <v>530</v>
      </c>
      <c r="D24" s="101" t="s">
        <v>529</v>
      </c>
      <c r="E24" s="117" t="s">
        <v>528</v>
      </c>
      <c r="F24" s="80">
        <f t="shared" si="2"/>
        <v>0</v>
      </c>
      <c r="G24" s="103">
        <f>G25</f>
        <v>0</v>
      </c>
      <c r="H24" s="103">
        <f>H25</f>
        <v>0</v>
      </c>
      <c r="I24" s="103"/>
      <c r="J24" s="103"/>
      <c r="K24" s="103"/>
      <c r="L24" s="103"/>
      <c r="M24" s="103"/>
      <c r="N24" s="103"/>
      <c r="O24" s="80"/>
      <c r="P24" s="103"/>
      <c r="Q24" s="103"/>
      <c r="R24" s="103"/>
      <c r="S24" s="103"/>
      <c r="T24" s="103"/>
      <c r="U24" s="103"/>
      <c r="V24" s="103"/>
      <c r="W24" s="103"/>
      <c r="X24" s="103"/>
      <c r="Y24" s="103"/>
      <c r="Z24" s="103"/>
      <c r="AA24" s="103"/>
      <c r="AB24" s="103">
        <f t="shared" si="4"/>
        <v>0</v>
      </c>
      <c r="AC24" s="103"/>
      <c r="AD24" s="103"/>
      <c r="AE24" s="104">
        <f t="shared" si="5"/>
        <v>0</v>
      </c>
      <c r="AF24" s="115"/>
      <c r="AG24" s="115"/>
      <c r="AH24" s="115"/>
      <c r="AI24" s="106"/>
      <c r="AJ24" s="106"/>
      <c r="AK24" s="99"/>
      <c r="AL24" s="89"/>
      <c r="AM24" s="90"/>
      <c r="AN24" s="100"/>
      <c r="AO24" s="91"/>
      <c r="AP24" s="92"/>
    </row>
    <row r="25" spans="1:42" s="64" customFormat="1" ht="50.25" customHeight="1" hidden="1">
      <c r="A25" s="76"/>
      <c r="B25" s="101"/>
      <c r="C25" s="101"/>
      <c r="D25" s="101"/>
      <c r="E25" s="118" t="s">
        <v>537</v>
      </c>
      <c r="F25" s="80">
        <f t="shared" si="2"/>
        <v>0</v>
      </c>
      <c r="G25" s="103"/>
      <c r="H25" s="110"/>
      <c r="I25" s="110"/>
      <c r="J25" s="110"/>
      <c r="K25" s="110"/>
      <c r="L25" s="110"/>
      <c r="M25" s="110"/>
      <c r="N25" s="110"/>
      <c r="O25" s="95"/>
      <c r="P25" s="110"/>
      <c r="Q25" s="110"/>
      <c r="R25" s="110"/>
      <c r="S25" s="110"/>
      <c r="T25" s="110"/>
      <c r="U25" s="110"/>
      <c r="V25" s="110"/>
      <c r="W25" s="110"/>
      <c r="X25" s="110"/>
      <c r="Y25" s="110"/>
      <c r="Z25" s="110"/>
      <c r="AA25" s="110"/>
      <c r="AB25" s="103">
        <f t="shared" si="4"/>
        <v>0</v>
      </c>
      <c r="AC25" s="103"/>
      <c r="AD25" s="103"/>
      <c r="AE25" s="104">
        <f t="shared" si="5"/>
        <v>0</v>
      </c>
      <c r="AF25" s="119"/>
      <c r="AG25" s="119"/>
      <c r="AH25" s="119"/>
      <c r="AI25" s="106"/>
      <c r="AJ25" s="106"/>
      <c r="AK25" s="99"/>
      <c r="AL25" s="89"/>
      <c r="AM25" s="90"/>
      <c r="AN25" s="100"/>
      <c r="AO25" s="91"/>
      <c r="AP25" s="92"/>
    </row>
    <row r="26" spans="1:42" s="64" customFormat="1" ht="45" customHeight="1" hidden="1">
      <c r="A26" s="76"/>
      <c r="B26" s="101" t="s">
        <v>64</v>
      </c>
      <c r="C26" s="101" t="s">
        <v>65</v>
      </c>
      <c r="D26" s="101" t="s">
        <v>268</v>
      </c>
      <c r="E26" s="117" t="s">
        <v>63</v>
      </c>
      <c r="F26" s="80">
        <f t="shared" si="2"/>
        <v>0</v>
      </c>
      <c r="G26" s="103">
        <f>G27+G28</f>
        <v>0</v>
      </c>
      <c r="H26" s="103">
        <f aca="true" t="shared" si="6" ref="H26:AA26">H27+H28</f>
        <v>0</v>
      </c>
      <c r="I26" s="103">
        <f t="shared" si="6"/>
        <v>0</v>
      </c>
      <c r="J26" s="103">
        <f t="shared" si="6"/>
        <v>0</v>
      </c>
      <c r="K26" s="103">
        <f t="shared" si="6"/>
        <v>0</v>
      </c>
      <c r="L26" s="103">
        <f t="shared" si="6"/>
        <v>0</v>
      </c>
      <c r="M26" s="103">
        <f t="shared" si="6"/>
        <v>0</v>
      </c>
      <c r="N26" s="103">
        <f t="shared" si="6"/>
        <v>0</v>
      </c>
      <c r="O26" s="103">
        <f t="shared" si="6"/>
        <v>0</v>
      </c>
      <c r="P26" s="103">
        <f t="shared" si="6"/>
        <v>0</v>
      </c>
      <c r="Q26" s="103">
        <f t="shared" si="6"/>
        <v>0</v>
      </c>
      <c r="R26" s="103">
        <f t="shared" si="6"/>
        <v>0</v>
      </c>
      <c r="S26" s="103">
        <f t="shared" si="6"/>
        <v>0</v>
      </c>
      <c r="T26" s="103">
        <f t="shared" si="6"/>
        <v>0</v>
      </c>
      <c r="U26" s="103">
        <f t="shared" si="6"/>
        <v>0</v>
      </c>
      <c r="V26" s="103">
        <f t="shared" si="6"/>
        <v>0</v>
      </c>
      <c r="W26" s="103">
        <f t="shared" si="6"/>
        <v>0</v>
      </c>
      <c r="X26" s="103">
        <f t="shared" si="6"/>
        <v>0</v>
      </c>
      <c r="Y26" s="103">
        <f t="shared" si="6"/>
        <v>0</v>
      </c>
      <c r="Z26" s="103">
        <f t="shared" si="6"/>
        <v>0</v>
      </c>
      <c r="AA26" s="103">
        <f t="shared" si="6"/>
        <v>0</v>
      </c>
      <c r="AB26" s="103">
        <f t="shared" si="4"/>
        <v>0</v>
      </c>
      <c r="AC26" s="103"/>
      <c r="AD26" s="103"/>
      <c r="AE26" s="104">
        <f t="shared" si="5"/>
        <v>0</v>
      </c>
      <c r="AF26" s="115"/>
      <c r="AG26" s="115"/>
      <c r="AH26" s="115"/>
      <c r="AI26" s="106"/>
      <c r="AJ26" s="106"/>
      <c r="AK26" s="99"/>
      <c r="AL26" s="89"/>
      <c r="AM26" s="90"/>
      <c r="AN26" s="100"/>
      <c r="AO26" s="91"/>
      <c r="AP26" s="92"/>
    </row>
    <row r="27" spans="1:42" s="64" customFormat="1" ht="45" customHeight="1" hidden="1">
      <c r="A27" s="76"/>
      <c r="B27" s="101"/>
      <c r="C27" s="101"/>
      <c r="D27" s="101"/>
      <c r="E27" s="1" t="s">
        <v>660</v>
      </c>
      <c r="F27" s="80">
        <f t="shared" si="2"/>
        <v>0</v>
      </c>
      <c r="G27" s="103"/>
      <c r="H27" s="110"/>
      <c r="I27" s="110"/>
      <c r="J27" s="110"/>
      <c r="K27" s="110"/>
      <c r="L27" s="110"/>
      <c r="M27" s="110"/>
      <c r="N27" s="110"/>
      <c r="O27" s="95"/>
      <c r="P27" s="110"/>
      <c r="Q27" s="110"/>
      <c r="R27" s="110"/>
      <c r="S27" s="110"/>
      <c r="T27" s="110"/>
      <c r="U27" s="110"/>
      <c r="V27" s="110"/>
      <c r="W27" s="110"/>
      <c r="X27" s="110"/>
      <c r="Y27" s="110"/>
      <c r="Z27" s="110"/>
      <c r="AA27" s="110"/>
      <c r="AB27" s="103">
        <f t="shared" si="4"/>
        <v>0</v>
      </c>
      <c r="AC27" s="103"/>
      <c r="AD27" s="103"/>
      <c r="AE27" s="104">
        <f t="shared" si="5"/>
        <v>0</v>
      </c>
      <c r="AF27" s="115"/>
      <c r="AG27" s="115"/>
      <c r="AH27" s="115"/>
      <c r="AI27" s="106"/>
      <c r="AJ27" s="106"/>
      <c r="AK27" s="99"/>
      <c r="AL27" s="89"/>
      <c r="AM27" s="90"/>
      <c r="AN27" s="100"/>
      <c r="AO27" s="91"/>
      <c r="AP27" s="92"/>
    </row>
    <row r="28" spans="1:42" s="64" customFormat="1" ht="68.25" customHeight="1" hidden="1">
      <c r="A28" s="76"/>
      <c r="B28" s="101"/>
      <c r="C28" s="101"/>
      <c r="D28" s="101"/>
      <c r="E28" s="1" t="s">
        <v>675</v>
      </c>
      <c r="F28" s="80">
        <f t="shared" si="2"/>
        <v>0</v>
      </c>
      <c r="G28" s="103"/>
      <c r="H28" s="110"/>
      <c r="I28" s="110"/>
      <c r="J28" s="110"/>
      <c r="K28" s="110"/>
      <c r="L28" s="110"/>
      <c r="M28" s="110"/>
      <c r="N28" s="110"/>
      <c r="O28" s="95"/>
      <c r="P28" s="110"/>
      <c r="Q28" s="110"/>
      <c r="R28" s="110"/>
      <c r="S28" s="110"/>
      <c r="T28" s="110"/>
      <c r="U28" s="110"/>
      <c r="V28" s="110"/>
      <c r="W28" s="110"/>
      <c r="X28" s="110"/>
      <c r="Y28" s="110"/>
      <c r="Z28" s="110"/>
      <c r="AA28" s="110"/>
      <c r="AB28" s="103">
        <f>SUM(G28:AA28)-O28</f>
        <v>0</v>
      </c>
      <c r="AC28" s="103"/>
      <c r="AD28" s="103"/>
      <c r="AE28" s="104">
        <f>SUM(AB28:AD28)</f>
        <v>0</v>
      </c>
      <c r="AF28" s="115"/>
      <c r="AG28" s="115"/>
      <c r="AH28" s="115"/>
      <c r="AI28" s="106"/>
      <c r="AJ28" s="106"/>
      <c r="AK28" s="99"/>
      <c r="AL28" s="89"/>
      <c r="AM28" s="90"/>
      <c r="AN28" s="100"/>
      <c r="AO28" s="91"/>
      <c r="AP28" s="92"/>
    </row>
    <row r="29" spans="1:40" s="39" customFormat="1" ht="53.25" customHeight="1" hidden="1">
      <c r="A29" s="76" t="s">
        <v>316</v>
      </c>
      <c r="B29" s="101" t="s">
        <v>450</v>
      </c>
      <c r="C29" s="101" t="s">
        <v>451</v>
      </c>
      <c r="D29" s="101" t="s">
        <v>299</v>
      </c>
      <c r="E29" s="102" t="s">
        <v>452</v>
      </c>
      <c r="F29" s="80">
        <f t="shared" si="2"/>
        <v>0</v>
      </c>
      <c r="G29" s="120">
        <f>G31+G30</f>
        <v>0</v>
      </c>
      <c r="H29" s="120">
        <f aca="true" t="shared" si="7" ref="H29:AA29">H31+H30</f>
        <v>0</v>
      </c>
      <c r="I29" s="120">
        <f t="shared" si="7"/>
        <v>0</v>
      </c>
      <c r="J29" s="120">
        <f t="shared" si="7"/>
        <v>0</v>
      </c>
      <c r="K29" s="120">
        <f t="shared" si="7"/>
        <v>0</v>
      </c>
      <c r="L29" s="120">
        <f t="shared" si="7"/>
        <v>0</v>
      </c>
      <c r="M29" s="120">
        <f t="shared" si="7"/>
        <v>0</v>
      </c>
      <c r="N29" s="120">
        <f t="shared" si="7"/>
        <v>0</v>
      </c>
      <c r="O29" s="121">
        <f t="shared" si="7"/>
        <v>0</v>
      </c>
      <c r="P29" s="120">
        <f t="shared" si="7"/>
        <v>0</v>
      </c>
      <c r="Q29" s="120">
        <f t="shared" si="7"/>
        <v>0</v>
      </c>
      <c r="R29" s="120">
        <f t="shared" si="7"/>
        <v>0</v>
      </c>
      <c r="S29" s="120">
        <f t="shared" si="7"/>
        <v>0</v>
      </c>
      <c r="T29" s="120">
        <f t="shared" si="7"/>
        <v>0</v>
      </c>
      <c r="U29" s="120">
        <f t="shared" si="7"/>
        <v>0</v>
      </c>
      <c r="V29" s="120">
        <f t="shared" si="7"/>
        <v>0</v>
      </c>
      <c r="W29" s="120">
        <f t="shared" si="7"/>
        <v>0</v>
      </c>
      <c r="X29" s="120">
        <f t="shared" si="7"/>
        <v>0</v>
      </c>
      <c r="Y29" s="120">
        <f t="shared" si="7"/>
        <v>0</v>
      </c>
      <c r="Z29" s="120">
        <f t="shared" si="7"/>
        <v>0</v>
      </c>
      <c r="AA29" s="120">
        <f t="shared" si="7"/>
        <v>0</v>
      </c>
      <c r="AB29" s="103">
        <f t="shared" si="4"/>
        <v>0</v>
      </c>
      <c r="AC29" s="120"/>
      <c r="AD29" s="122">
        <f>AD31</f>
        <v>0</v>
      </c>
      <c r="AE29" s="104">
        <f t="shared" si="5"/>
        <v>0</v>
      </c>
      <c r="AF29" s="123"/>
      <c r="AG29" s="123"/>
      <c r="AH29" s="123"/>
      <c r="AI29" s="124"/>
      <c r="AJ29" s="124"/>
      <c r="AK29" s="125"/>
      <c r="AL29" s="126"/>
      <c r="AM29" s="127"/>
      <c r="AN29" s="100"/>
    </row>
    <row r="30" spans="1:40" s="39" customFormat="1" ht="53.25" customHeight="1" hidden="1">
      <c r="A30" s="76"/>
      <c r="B30" s="101"/>
      <c r="C30" s="101"/>
      <c r="D30" s="101"/>
      <c r="E30" s="108" t="s">
        <v>140</v>
      </c>
      <c r="F30" s="80">
        <f t="shared" si="2"/>
        <v>0</v>
      </c>
      <c r="G30" s="120"/>
      <c r="H30" s="120"/>
      <c r="I30" s="120"/>
      <c r="J30" s="120"/>
      <c r="K30" s="120"/>
      <c r="L30" s="120"/>
      <c r="M30" s="120"/>
      <c r="N30" s="120"/>
      <c r="O30" s="95"/>
      <c r="P30" s="120"/>
      <c r="Q30" s="120"/>
      <c r="R30" s="120"/>
      <c r="S30" s="120"/>
      <c r="T30" s="120"/>
      <c r="U30" s="120"/>
      <c r="V30" s="120"/>
      <c r="W30" s="120"/>
      <c r="X30" s="120"/>
      <c r="Y30" s="120"/>
      <c r="Z30" s="120"/>
      <c r="AA30" s="120"/>
      <c r="AB30" s="103">
        <f>SUM(G30:AA30)-O30</f>
        <v>0</v>
      </c>
      <c r="AC30" s="120"/>
      <c r="AD30" s="122">
        <f>AD32</f>
        <v>0</v>
      </c>
      <c r="AE30" s="104">
        <f>SUM(AB30:AD30)</f>
        <v>0</v>
      </c>
      <c r="AF30" s="123"/>
      <c r="AG30" s="123"/>
      <c r="AH30" s="123"/>
      <c r="AI30" s="124"/>
      <c r="AJ30" s="124"/>
      <c r="AK30" s="125"/>
      <c r="AL30" s="126"/>
      <c r="AM30" s="127"/>
      <c r="AN30" s="100"/>
    </row>
    <row r="31" spans="1:40" s="39" customFormat="1" ht="52.5" customHeight="1" hidden="1">
      <c r="A31" s="76"/>
      <c r="B31" s="107"/>
      <c r="C31" s="107"/>
      <c r="D31" s="101"/>
      <c r="E31" s="108" t="s">
        <v>238</v>
      </c>
      <c r="F31" s="80">
        <f t="shared" si="2"/>
        <v>0</v>
      </c>
      <c r="G31" s="122"/>
      <c r="H31" s="110"/>
      <c r="I31" s="110"/>
      <c r="J31" s="110"/>
      <c r="K31" s="110"/>
      <c r="L31" s="110"/>
      <c r="M31" s="110"/>
      <c r="N31" s="110"/>
      <c r="O31" s="95">
        <f>SUM(P31:R31)</f>
        <v>0</v>
      </c>
      <c r="P31" s="110"/>
      <c r="Q31" s="110"/>
      <c r="R31" s="110"/>
      <c r="S31" s="110"/>
      <c r="T31" s="110"/>
      <c r="U31" s="110"/>
      <c r="V31" s="110"/>
      <c r="W31" s="110"/>
      <c r="X31" s="110"/>
      <c r="Y31" s="110"/>
      <c r="Z31" s="110"/>
      <c r="AA31" s="110"/>
      <c r="AB31" s="103">
        <f t="shared" si="4"/>
        <v>0</v>
      </c>
      <c r="AC31" s="110"/>
      <c r="AD31" s="110"/>
      <c r="AE31" s="104">
        <f t="shared" si="5"/>
        <v>0</v>
      </c>
      <c r="AF31" s="128"/>
      <c r="AG31" s="128"/>
      <c r="AH31" s="128"/>
      <c r="AI31" s="124"/>
      <c r="AJ31" s="124"/>
      <c r="AK31" s="125"/>
      <c r="AL31" s="126"/>
      <c r="AM31" s="127"/>
      <c r="AN31" s="100"/>
    </row>
    <row r="32" spans="1:40" s="39" customFormat="1" ht="67.5" customHeight="1" hidden="1">
      <c r="A32" s="76"/>
      <c r="B32" s="101" t="s">
        <v>538</v>
      </c>
      <c r="C32" s="101" t="s">
        <v>533</v>
      </c>
      <c r="D32" s="101" t="s">
        <v>263</v>
      </c>
      <c r="E32" s="129" t="s">
        <v>534</v>
      </c>
      <c r="F32" s="80">
        <f t="shared" si="2"/>
        <v>0</v>
      </c>
      <c r="G32" s="130">
        <f>G33</f>
        <v>0</v>
      </c>
      <c r="H32" s="130">
        <f aca="true" t="shared" si="8" ref="H32:AA32">H33</f>
        <v>0</v>
      </c>
      <c r="I32" s="130">
        <f t="shared" si="8"/>
        <v>0</v>
      </c>
      <c r="J32" s="130">
        <f t="shared" si="8"/>
        <v>0</v>
      </c>
      <c r="K32" s="130">
        <f t="shared" si="8"/>
        <v>0</v>
      </c>
      <c r="L32" s="130">
        <f t="shared" si="8"/>
        <v>0</v>
      </c>
      <c r="M32" s="130">
        <f t="shared" si="8"/>
        <v>0</v>
      </c>
      <c r="N32" s="130">
        <f t="shared" si="8"/>
        <v>0</v>
      </c>
      <c r="O32" s="131">
        <f t="shared" si="8"/>
        <v>0</v>
      </c>
      <c r="P32" s="130">
        <f t="shared" si="8"/>
        <v>0</v>
      </c>
      <c r="Q32" s="130">
        <f t="shared" si="8"/>
        <v>0</v>
      </c>
      <c r="R32" s="130">
        <f t="shared" si="8"/>
        <v>0</v>
      </c>
      <c r="S32" s="130">
        <f t="shared" si="8"/>
        <v>0</v>
      </c>
      <c r="T32" s="130">
        <f t="shared" si="8"/>
        <v>0</v>
      </c>
      <c r="U32" s="130">
        <f t="shared" si="8"/>
        <v>0</v>
      </c>
      <c r="V32" s="130">
        <f t="shared" si="8"/>
        <v>0</v>
      </c>
      <c r="W32" s="130">
        <f t="shared" si="8"/>
        <v>0</v>
      </c>
      <c r="X32" s="130">
        <f t="shared" si="8"/>
        <v>0</v>
      </c>
      <c r="Y32" s="130">
        <f t="shared" si="8"/>
        <v>0</v>
      </c>
      <c r="Z32" s="130">
        <f t="shared" si="8"/>
        <v>0</v>
      </c>
      <c r="AA32" s="130">
        <f t="shared" si="8"/>
        <v>0</v>
      </c>
      <c r="AB32" s="103">
        <f t="shared" si="4"/>
        <v>0</v>
      </c>
      <c r="AC32" s="110"/>
      <c r="AD32" s="110"/>
      <c r="AE32" s="104">
        <f t="shared" si="5"/>
        <v>0</v>
      </c>
      <c r="AF32" s="128"/>
      <c r="AG32" s="128"/>
      <c r="AH32" s="128"/>
      <c r="AI32" s="124"/>
      <c r="AJ32" s="124"/>
      <c r="AK32" s="125"/>
      <c r="AL32" s="126"/>
      <c r="AM32" s="127"/>
      <c r="AN32" s="100"/>
    </row>
    <row r="33" spans="1:40" s="39" customFormat="1" ht="86.25" customHeight="1" hidden="1">
      <c r="A33" s="76"/>
      <c r="B33" s="107"/>
      <c r="C33" s="107"/>
      <c r="D33" s="101"/>
      <c r="E33" s="108" t="s">
        <v>712</v>
      </c>
      <c r="F33" s="80">
        <f t="shared" si="2"/>
        <v>0</v>
      </c>
      <c r="G33" s="122"/>
      <c r="H33" s="110"/>
      <c r="I33" s="110"/>
      <c r="J33" s="110"/>
      <c r="K33" s="110"/>
      <c r="L33" s="110"/>
      <c r="M33" s="110"/>
      <c r="N33" s="110"/>
      <c r="O33" s="95"/>
      <c r="P33" s="110"/>
      <c r="Q33" s="110"/>
      <c r="R33" s="110"/>
      <c r="S33" s="110"/>
      <c r="T33" s="110"/>
      <c r="U33" s="110"/>
      <c r="V33" s="132"/>
      <c r="W33" s="110"/>
      <c r="X33" s="110"/>
      <c r="Y33" s="110"/>
      <c r="Z33" s="110"/>
      <c r="AA33" s="110"/>
      <c r="AB33" s="103">
        <f t="shared" si="4"/>
        <v>0</v>
      </c>
      <c r="AC33" s="110"/>
      <c r="AD33" s="110"/>
      <c r="AE33" s="104">
        <f t="shared" si="5"/>
        <v>0</v>
      </c>
      <c r="AF33" s="133"/>
      <c r="AG33" s="133"/>
      <c r="AH33" s="133"/>
      <c r="AI33" s="124"/>
      <c r="AJ33" s="124"/>
      <c r="AK33" s="125"/>
      <c r="AL33" s="126"/>
      <c r="AM33" s="127"/>
      <c r="AN33" s="100"/>
    </row>
    <row r="34" spans="1:40" s="39" customFormat="1" ht="40.5" customHeight="1">
      <c r="A34" s="76"/>
      <c r="B34" s="101"/>
      <c r="C34" s="101"/>
      <c r="D34" s="101"/>
      <c r="E34" s="134" t="s">
        <v>359</v>
      </c>
      <c r="F34" s="80">
        <f t="shared" si="2"/>
        <v>2568355</v>
      </c>
      <c r="G34" s="135">
        <f>G14+G29+G26+G18+G24+G32+G21</f>
        <v>2048572</v>
      </c>
      <c r="H34" s="135">
        <f aca="true" t="shared" si="9" ref="H34:AE34">H14+H29+H26+H18+H24+H32+H21</f>
        <v>519783</v>
      </c>
      <c r="I34" s="135">
        <f t="shared" si="9"/>
        <v>402261</v>
      </c>
      <c r="J34" s="135">
        <f t="shared" si="9"/>
        <v>0</v>
      </c>
      <c r="K34" s="135">
        <f t="shared" si="9"/>
        <v>0</v>
      </c>
      <c r="L34" s="135">
        <f t="shared" si="9"/>
        <v>148573.68</v>
      </c>
      <c r="M34" s="135">
        <f t="shared" si="9"/>
        <v>0</v>
      </c>
      <c r="N34" s="135">
        <f t="shared" si="9"/>
        <v>0</v>
      </c>
      <c r="O34" s="135">
        <f t="shared" si="9"/>
        <v>0</v>
      </c>
      <c r="P34" s="135">
        <f t="shared" si="9"/>
        <v>-10000</v>
      </c>
      <c r="Q34" s="135">
        <f t="shared" si="9"/>
        <v>0</v>
      </c>
      <c r="R34" s="135">
        <f t="shared" si="9"/>
        <v>10936.32</v>
      </c>
      <c r="S34" s="135">
        <f t="shared" si="9"/>
        <v>0</v>
      </c>
      <c r="T34" s="135">
        <f t="shared" si="9"/>
        <v>0</v>
      </c>
      <c r="U34" s="135">
        <f t="shared" si="9"/>
        <v>0</v>
      </c>
      <c r="V34" s="135">
        <f t="shared" si="9"/>
        <v>0</v>
      </c>
      <c r="W34" s="135">
        <f t="shared" si="9"/>
        <v>0</v>
      </c>
      <c r="X34" s="135">
        <f t="shared" si="9"/>
        <v>0</v>
      </c>
      <c r="Y34" s="135">
        <f t="shared" si="9"/>
        <v>0</v>
      </c>
      <c r="Z34" s="135">
        <f t="shared" si="9"/>
        <v>0</v>
      </c>
      <c r="AA34" s="135">
        <f t="shared" si="9"/>
        <v>-4991592</v>
      </c>
      <c r="AB34" s="135">
        <f t="shared" si="9"/>
        <v>-1871466</v>
      </c>
      <c r="AC34" s="135">
        <f t="shared" si="9"/>
        <v>0</v>
      </c>
      <c r="AD34" s="135">
        <f t="shared" si="9"/>
        <v>0</v>
      </c>
      <c r="AE34" s="135">
        <f t="shared" si="9"/>
        <v>-1871466</v>
      </c>
      <c r="AF34" s="128"/>
      <c r="AG34" s="128"/>
      <c r="AH34" s="128"/>
      <c r="AI34" s="124"/>
      <c r="AJ34" s="124"/>
      <c r="AK34" s="125"/>
      <c r="AL34" s="126"/>
      <c r="AM34" s="127"/>
      <c r="AN34" s="100"/>
    </row>
    <row r="35" spans="1:40" s="39" customFormat="1" ht="35.25" customHeight="1">
      <c r="A35" s="136" t="s">
        <v>246</v>
      </c>
      <c r="B35" s="77" t="s">
        <v>5</v>
      </c>
      <c r="C35" s="77"/>
      <c r="D35" s="77"/>
      <c r="E35" s="78" t="s">
        <v>713</v>
      </c>
      <c r="F35" s="80">
        <f t="shared" si="2"/>
        <v>0</v>
      </c>
      <c r="G35" s="122"/>
      <c r="H35" s="110"/>
      <c r="I35" s="110"/>
      <c r="J35" s="110"/>
      <c r="K35" s="110"/>
      <c r="L35" s="110"/>
      <c r="M35" s="110"/>
      <c r="N35" s="110"/>
      <c r="O35" s="95"/>
      <c r="P35" s="110"/>
      <c r="Q35" s="110"/>
      <c r="R35" s="110"/>
      <c r="S35" s="110"/>
      <c r="T35" s="110"/>
      <c r="U35" s="110"/>
      <c r="V35" s="110"/>
      <c r="W35" s="110"/>
      <c r="X35" s="110"/>
      <c r="Y35" s="110"/>
      <c r="Z35" s="110"/>
      <c r="AA35" s="137"/>
      <c r="AB35" s="103"/>
      <c r="AC35" s="110"/>
      <c r="AD35" s="110"/>
      <c r="AE35" s="104"/>
      <c r="AF35" s="123"/>
      <c r="AG35" s="123"/>
      <c r="AH35" s="123"/>
      <c r="AI35" s="124"/>
      <c r="AJ35" s="124"/>
      <c r="AK35" s="125"/>
      <c r="AL35" s="126"/>
      <c r="AM35" s="127"/>
      <c r="AN35" s="100"/>
    </row>
    <row r="36" spans="1:40" s="39" customFormat="1" ht="40.5" customHeight="1">
      <c r="A36" s="136" t="s">
        <v>246</v>
      </c>
      <c r="B36" s="93" t="s">
        <v>456</v>
      </c>
      <c r="C36" s="77"/>
      <c r="D36" s="77"/>
      <c r="E36" s="78" t="s">
        <v>551</v>
      </c>
      <c r="F36" s="80">
        <f t="shared" si="2"/>
        <v>0</v>
      </c>
      <c r="G36" s="122"/>
      <c r="H36" s="110"/>
      <c r="I36" s="110"/>
      <c r="J36" s="110"/>
      <c r="K36" s="110"/>
      <c r="L36" s="110"/>
      <c r="M36" s="110"/>
      <c r="N36" s="110"/>
      <c r="O36" s="95"/>
      <c r="P36" s="110"/>
      <c r="Q36" s="110"/>
      <c r="R36" s="110"/>
      <c r="S36" s="110"/>
      <c r="T36" s="110"/>
      <c r="U36" s="110"/>
      <c r="V36" s="110"/>
      <c r="W36" s="110"/>
      <c r="X36" s="110"/>
      <c r="Y36" s="110"/>
      <c r="Z36" s="110"/>
      <c r="AA36" s="137"/>
      <c r="AB36" s="103"/>
      <c r="AC36" s="110"/>
      <c r="AD36" s="110"/>
      <c r="AE36" s="104"/>
      <c r="AF36" s="123"/>
      <c r="AG36" s="123"/>
      <c r="AH36" s="123"/>
      <c r="AI36" s="124"/>
      <c r="AJ36" s="124"/>
      <c r="AK36" s="125"/>
      <c r="AL36" s="126"/>
      <c r="AM36" s="127"/>
      <c r="AN36" s="100"/>
    </row>
    <row r="37" spans="1:40" s="39" customFormat="1" ht="78" customHeight="1">
      <c r="A37" s="76" t="s">
        <v>260</v>
      </c>
      <c r="B37" s="101" t="s">
        <v>453</v>
      </c>
      <c r="C37" s="101" t="s">
        <v>317</v>
      </c>
      <c r="D37" s="101" t="s">
        <v>261</v>
      </c>
      <c r="E37" s="102" t="s">
        <v>70</v>
      </c>
      <c r="F37" s="80">
        <f t="shared" si="2"/>
        <v>0</v>
      </c>
      <c r="G37" s="120">
        <f>G38+G39</f>
        <v>0</v>
      </c>
      <c r="H37" s="120">
        <f aca="true" t="shared" si="10" ref="H37:AA37">H38+H39</f>
        <v>0</v>
      </c>
      <c r="I37" s="120">
        <f t="shared" si="10"/>
        <v>12000</v>
      </c>
      <c r="J37" s="120">
        <f t="shared" si="10"/>
        <v>0</v>
      </c>
      <c r="K37" s="120">
        <f t="shared" si="10"/>
        <v>0</v>
      </c>
      <c r="L37" s="120">
        <f t="shared" si="10"/>
        <v>-12000</v>
      </c>
      <c r="M37" s="120">
        <f t="shared" si="10"/>
        <v>0</v>
      </c>
      <c r="N37" s="120">
        <f t="shared" si="10"/>
        <v>0</v>
      </c>
      <c r="O37" s="121">
        <f t="shared" si="10"/>
        <v>0</v>
      </c>
      <c r="P37" s="120">
        <f t="shared" si="10"/>
        <v>0</v>
      </c>
      <c r="Q37" s="120">
        <f t="shared" si="10"/>
        <v>0</v>
      </c>
      <c r="R37" s="120">
        <f t="shared" si="10"/>
        <v>0</v>
      </c>
      <c r="S37" s="120">
        <f t="shared" si="10"/>
        <v>0</v>
      </c>
      <c r="T37" s="120">
        <f t="shared" si="10"/>
        <v>0</v>
      </c>
      <c r="U37" s="120">
        <f t="shared" si="10"/>
        <v>-630</v>
      </c>
      <c r="V37" s="120">
        <f t="shared" si="10"/>
        <v>0</v>
      </c>
      <c r="W37" s="120">
        <f t="shared" si="10"/>
        <v>0</v>
      </c>
      <c r="X37" s="120">
        <f t="shared" si="10"/>
        <v>0</v>
      </c>
      <c r="Y37" s="120">
        <f t="shared" si="10"/>
        <v>0</v>
      </c>
      <c r="Z37" s="120">
        <f t="shared" si="10"/>
        <v>0</v>
      </c>
      <c r="AA37" s="120">
        <f t="shared" si="10"/>
        <v>630</v>
      </c>
      <c r="AB37" s="103">
        <f>SUM(G37:AA37)-O37</f>
        <v>0</v>
      </c>
      <c r="AC37" s="110"/>
      <c r="AD37" s="110"/>
      <c r="AE37" s="104">
        <f>SUM(AB37:AD37)</f>
        <v>0</v>
      </c>
      <c r="AF37" s="123"/>
      <c r="AG37" s="123"/>
      <c r="AH37" s="123"/>
      <c r="AI37" s="124"/>
      <c r="AJ37" s="124"/>
      <c r="AK37" s="125"/>
      <c r="AL37" s="126"/>
      <c r="AM37" s="127"/>
      <c r="AN37" s="100"/>
    </row>
    <row r="38" spans="1:40" s="39" customFormat="1" ht="51" customHeight="1">
      <c r="A38" s="76"/>
      <c r="B38" s="107"/>
      <c r="C38" s="107"/>
      <c r="D38" s="107"/>
      <c r="E38" s="108" t="s">
        <v>455</v>
      </c>
      <c r="F38" s="80">
        <f t="shared" si="2"/>
        <v>0</v>
      </c>
      <c r="G38" s="120"/>
      <c r="H38" s="110"/>
      <c r="I38" s="110">
        <v>12000</v>
      </c>
      <c r="J38" s="110"/>
      <c r="K38" s="110"/>
      <c r="L38" s="110">
        <v>-12000</v>
      </c>
      <c r="M38" s="110"/>
      <c r="N38" s="110"/>
      <c r="O38" s="95">
        <f>SUM(P38:R38)</f>
        <v>0</v>
      </c>
      <c r="P38" s="110"/>
      <c r="Q38" s="110"/>
      <c r="R38" s="110"/>
      <c r="S38" s="110"/>
      <c r="T38" s="110"/>
      <c r="U38" s="110">
        <v>-630</v>
      </c>
      <c r="V38" s="110"/>
      <c r="W38" s="110"/>
      <c r="X38" s="110"/>
      <c r="Y38" s="110"/>
      <c r="Z38" s="110"/>
      <c r="AA38" s="137">
        <v>630</v>
      </c>
      <c r="AB38" s="103">
        <f>SUM(G38:AA38)-O38</f>
        <v>0</v>
      </c>
      <c r="AC38" s="110"/>
      <c r="AD38" s="110"/>
      <c r="AE38" s="104">
        <f>SUM(AB38:AD38)</f>
        <v>0</v>
      </c>
      <c r="AF38" s="138"/>
      <c r="AG38" s="138"/>
      <c r="AH38" s="138"/>
      <c r="AI38" s="124"/>
      <c r="AJ38" s="124"/>
      <c r="AK38" s="125"/>
      <c r="AL38" s="126"/>
      <c r="AM38" s="127"/>
      <c r="AN38" s="100"/>
    </row>
    <row r="39" spans="1:40" s="39" customFormat="1" ht="84" customHeight="1" hidden="1">
      <c r="A39" s="76"/>
      <c r="B39" s="107"/>
      <c r="C39" s="107"/>
      <c r="D39" s="107"/>
      <c r="E39" s="108" t="s">
        <v>227</v>
      </c>
      <c r="F39" s="80">
        <f t="shared" si="2"/>
        <v>0</v>
      </c>
      <c r="G39" s="120"/>
      <c r="H39" s="110"/>
      <c r="I39" s="110"/>
      <c r="J39" s="110"/>
      <c r="K39" s="110"/>
      <c r="L39" s="110"/>
      <c r="M39" s="110"/>
      <c r="N39" s="110"/>
      <c r="O39" s="95"/>
      <c r="P39" s="110"/>
      <c r="Q39" s="110"/>
      <c r="R39" s="110"/>
      <c r="S39" s="110"/>
      <c r="T39" s="110"/>
      <c r="U39" s="110"/>
      <c r="V39" s="110"/>
      <c r="W39" s="110"/>
      <c r="X39" s="110"/>
      <c r="Y39" s="110"/>
      <c r="Z39" s="110"/>
      <c r="AA39" s="137"/>
      <c r="AB39" s="103">
        <f>SUM(G39:AA39)-O39</f>
        <v>0</v>
      </c>
      <c r="AC39" s="110"/>
      <c r="AD39" s="110"/>
      <c r="AE39" s="104">
        <f>SUM(AB39:AD39)</f>
        <v>0</v>
      </c>
      <c r="AF39" s="138"/>
      <c r="AG39" s="138"/>
      <c r="AH39" s="138"/>
      <c r="AI39" s="124"/>
      <c r="AJ39" s="124"/>
      <c r="AK39" s="125"/>
      <c r="AL39" s="126"/>
      <c r="AM39" s="127"/>
      <c r="AN39" s="100"/>
    </row>
    <row r="40" spans="1:40" s="39" customFormat="1" ht="39.75" customHeight="1">
      <c r="A40" s="76" t="s">
        <v>276</v>
      </c>
      <c r="B40" s="101" t="s">
        <v>457</v>
      </c>
      <c r="C40" s="101" t="s">
        <v>318</v>
      </c>
      <c r="D40" s="101" t="s">
        <v>285</v>
      </c>
      <c r="E40" s="116" t="s">
        <v>458</v>
      </c>
      <c r="F40" s="80">
        <f t="shared" si="2"/>
        <v>0</v>
      </c>
      <c r="G40" s="120">
        <f>SUM(G41:G46)</f>
        <v>0</v>
      </c>
      <c r="H40" s="120">
        <f aca="true" t="shared" si="11" ref="H40:AA40">SUM(H41:H46)</f>
        <v>0</v>
      </c>
      <c r="I40" s="139">
        <f t="shared" si="11"/>
        <v>554975</v>
      </c>
      <c r="J40" s="139">
        <f t="shared" si="11"/>
        <v>0</v>
      </c>
      <c r="K40" s="139">
        <f t="shared" si="11"/>
        <v>-544375</v>
      </c>
      <c r="L40" s="139">
        <f>SUM(L41:L46)</f>
        <v>-202600</v>
      </c>
      <c r="M40" s="120">
        <f t="shared" si="11"/>
        <v>12000</v>
      </c>
      <c r="N40" s="120">
        <f t="shared" si="11"/>
        <v>0</v>
      </c>
      <c r="O40" s="95">
        <f>SUM(P40:R40)</f>
        <v>0</v>
      </c>
      <c r="P40" s="139">
        <f t="shared" si="11"/>
        <v>0</v>
      </c>
      <c r="Q40" s="120">
        <f t="shared" si="11"/>
        <v>0</v>
      </c>
      <c r="R40" s="120">
        <f t="shared" si="11"/>
        <v>0</v>
      </c>
      <c r="S40" s="120">
        <f t="shared" si="11"/>
        <v>0</v>
      </c>
      <c r="T40" s="120">
        <f t="shared" si="11"/>
        <v>0</v>
      </c>
      <c r="U40" s="120">
        <f t="shared" si="11"/>
        <v>0</v>
      </c>
      <c r="V40" s="120">
        <f t="shared" si="11"/>
        <v>0</v>
      </c>
      <c r="W40" s="120">
        <f t="shared" si="11"/>
        <v>0</v>
      </c>
      <c r="X40" s="120">
        <f t="shared" si="11"/>
        <v>0</v>
      </c>
      <c r="Y40" s="120">
        <f t="shared" si="11"/>
        <v>0</v>
      </c>
      <c r="Z40" s="120">
        <f t="shared" si="11"/>
        <v>0</v>
      </c>
      <c r="AA40" s="120">
        <f t="shared" si="11"/>
        <v>0</v>
      </c>
      <c r="AB40" s="103">
        <f>SUM(G40:AA40)-O40</f>
        <v>-180000</v>
      </c>
      <c r="AC40" s="122"/>
      <c r="AD40" s="122">
        <f>SUM(AD41:AD45)</f>
        <v>0</v>
      </c>
      <c r="AE40" s="104">
        <f>SUM(AB40:AD40)</f>
        <v>-180000</v>
      </c>
      <c r="AF40" s="123"/>
      <c r="AG40" s="123"/>
      <c r="AH40" s="123"/>
      <c r="AI40" s="124"/>
      <c r="AJ40" s="124"/>
      <c r="AK40" s="125"/>
      <c r="AL40" s="126"/>
      <c r="AM40" s="127"/>
      <c r="AN40" s="100"/>
    </row>
    <row r="41" spans="1:40" s="39" customFormat="1" ht="24" customHeight="1">
      <c r="A41" s="140"/>
      <c r="B41" s="107"/>
      <c r="C41" s="107"/>
      <c r="D41" s="107"/>
      <c r="E41" s="1" t="s">
        <v>571</v>
      </c>
      <c r="F41" s="80">
        <f t="shared" si="2"/>
        <v>0</v>
      </c>
      <c r="G41" s="120"/>
      <c r="H41" s="120"/>
      <c r="I41" s="139">
        <f>194375+350000+10600</f>
        <v>554975</v>
      </c>
      <c r="J41" s="139"/>
      <c r="K41" s="139">
        <f>-194375-350000</f>
        <v>-544375</v>
      </c>
      <c r="L41" s="139">
        <f>-10600-12000-180000</f>
        <v>-202600</v>
      </c>
      <c r="M41" s="120">
        <v>12000</v>
      </c>
      <c r="N41" s="120"/>
      <c r="O41" s="95"/>
      <c r="P41" s="139"/>
      <c r="Q41" s="120"/>
      <c r="R41" s="120"/>
      <c r="S41" s="120"/>
      <c r="T41" s="120"/>
      <c r="U41" s="120"/>
      <c r="V41" s="120"/>
      <c r="W41" s="120"/>
      <c r="X41" s="120"/>
      <c r="Y41" s="120"/>
      <c r="Z41" s="120"/>
      <c r="AA41" s="120"/>
      <c r="AB41" s="103">
        <f aca="true" t="shared" si="12" ref="AB41:AB46">SUM(G41:AA41)-O41</f>
        <v>-180000</v>
      </c>
      <c r="AC41" s="122"/>
      <c r="AD41" s="122">
        <f>SUM(AD42:AD46)</f>
        <v>0</v>
      </c>
      <c r="AE41" s="104">
        <f aca="true" t="shared" si="13" ref="AE41:AE46">SUM(AB41:AD41)</f>
        <v>-180000</v>
      </c>
      <c r="AF41" s="123"/>
      <c r="AG41" s="123"/>
      <c r="AH41" s="123"/>
      <c r="AI41" s="141"/>
      <c r="AJ41" s="124"/>
      <c r="AK41" s="125"/>
      <c r="AL41" s="126"/>
      <c r="AM41" s="127"/>
      <c r="AN41" s="100"/>
    </row>
    <row r="42" spans="1:40" s="39" customFormat="1" ht="78" customHeight="1" hidden="1">
      <c r="A42" s="140"/>
      <c r="B42" s="107"/>
      <c r="C42" s="107"/>
      <c r="D42" s="107"/>
      <c r="E42" s="1" t="s">
        <v>634</v>
      </c>
      <c r="F42" s="80"/>
      <c r="G42" s="120"/>
      <c r="H42" s="120"/>
      <c r="I42" s="120"/>
      <c r="J42" s="120"/>
      <c r="K42" s="120"/>
      <c r="L42" s="120"/>
      <c r="M42" s="120"/>
      <c r="N42" s="120"/>
      <c r="O42" s="95"/>
      <c r="P42" s="120"/>
      <c r="Q42" s="120"/>
      <c r="R42" s="120"/>
      <c r="S42" s="120"/>
      <c r="T42" s="120"/>
      <c r="U42" s="120"/>
      <c r="V42" s="120"/>
      <c r="W42" s="120"/>
      <c r="X42" s="120"/>
      <c r="Y42" s="120"/>
      <c r="Z42" s="120"/>
      <c r="AA42" s="120"/>
      <c r="AB42" s="103">
        <f t="shared" si="12"/>
        <v>0</v>
      </c>
      <c r="AC42" s="122"/>
      <c r="AD42" s="122">
        <f>SUM(AD43:AD47)</f>
        <v>0</v>
      </c>
      <c r="AE42" s="104">
        <f t="shared" si="13"/>
        <v>0</v>
      </c>
      <c r="AF42" s="141"/>
      <c r="AG42" s="141"/>
      <c r="AH42" s="141"/>
      <c r="AI42" s="141"/>
      <c r="AJ42" s="124"/>
      <c r="AK42" s="125"/>
      <c r="AL42" s="126"/>
      <c r="AM42" s="127"/>
      <c r="AN42" s="100"/>
    </row>
    <row r="43" spans="1:40" s="39" customFormat="1" ht="90.75" customHeight="1" hidden="1">
      <c r="A43" s="140"/>
      <c r="B43" s="107"/>
      <c r="C43" s="107"/>
      <c r="D43" s="107"/>
      <c r="E43" s="1" t="s">
        <v>714</v>
      </c>
      <c r="F43" s="80">
        <f t="shared" si="2"/>
        <v>0</v>
      </c>
      <c r="G43" s="120"/>
      <c r="H43" s="120"/>
      <c r="I43" s="120"/>
      <c r="J43" s="120"/>
      <c r="K43" s="120"/>
      <c r="L43" s="120"/>
      <c r="M43" s="120"/>
      <c r="N43" s="120"/>
      <c r="O43" s="95"/>
      <c r="P43" s="120"/>
      <c r="Q43" s="120"/>
      <c r="R43" s="120"/>
      <c r="S43" s="120"/>
      <c r="T43" s="120"/>
      <c r="U43" s="120"/>
      <c r="V43" s="120"/>
      <c r="W43" s="120"/>
      <c r="X43" s="120"/>
      <c r="Y43" s="120"/>
      <c r="Z43" s="120"/>
      <c r="AA43" s="120"/>
      <c r="AB43" s="103">
        <f t="shared" si="12"/>
        <v>0</v>
      </c>
      <c r="AC43" s="122"/>
      <c r="AD43" s="122">
        <f>SUM(AD44:AD48)</f>
        <v>0</v>
      </c>
      <c r="AE43" s="104">
        <f t="shared" si="13"/>
        <v>0</v>
      </c>
      <c r="AF43" s="141"/>
      <c r="AG43" s="141"/>
      <c r="AH43" s="141"/>
      <c r="AI43" s="124"/>
      <c r="AJ43" s="124"/>
      <c r="AK43" s="125"/>
      <c r="AL43" s="126"/>
      <c r="AM43" s="127"/>
      <c r="AN43" s="100"/>
    </row>
    <row r="44" spans="1:40" s="39" customFormat="1" ht="101.25" customHeight="1" hidden="1">
      <c r="A44" s="140"/>
      <c r="B44" s="107"/>
      <c r="C44" s="107"/>
      <c r="D44" s="107"/>
      <c r="E44" s="142" t="s">
        <v>444</v>
      </c>
      <c r="F44" s="80">
        <f t="shared" si="2"/>
        <v>0</v>
      </c>
      <c r="G44" s="120"/>
      <c r="H44" s="120"/>
      <c r="I44" s="120"/>
      <c r="J44" s="120"/>
      <c r="K44" s="120"/>
      <c r="L44" s="120"/>
      <c r="M44" s="120"/>
      <c r="N44" s="120"/>
      <c r="O44" s="95"/>
      <c r="P44" s="120"/>
      <c r="Q44" s="120"/>
      <c r="R44" s="120"/>
      <c r="S44" s="120"/>
      <c r="T44" s="120"/>
      <c r="U44" s="120"/>
      <c r="V44" s="120"/>
      <c r="W44" s="120"/>
      <c r="X44" s="120"/>
      <c r="Y44" s="120"/>
      <c r="Z44" s="120"/>
      <c r="AA44" s="122"/>
      <c r="AB44" s="103">
        <f t="shared" si="12"/>
        <v>0</v>
      </c>
      <c r="AC44" s="122"/>
      <c r="AD44" s="122">
        <f>SUM(AD45:AD49)</f>
        <v>0</v>
      </c>
      <c r="AE44" s="104">
        <f t="shared" si="13"/>
        <v>0</v>
      </c>
      <c r="AF44" s="141"/>
      <c r="AG44" s="141"/>
      <c r="AH44" s="141"/>
      <c r="AI44" s="124"/>
      <c r="AJ44" s="124"/>
      <c r="AK44" s="125"/>
      <c r="AL44" s="126"/>
      <c r="AM44" s="127"/>
      <c r="AN44" s="100"/>
    </row>
    <row r="45" spans="1:40" s="39" customFormat="1" ht="72" hidden="1">
      <c r="A45" s="140"/>
      <c r="B45" s="107"/>
      <c r="C45" s="107"/>
      <c r="D45" s="107"/>
      <c r="E45" s="1" t="s">
        <v>459</v>
      </c>
      <c r="F45" s="80">
        <f t="shared" si="2"/>
        <v>0</v>
      </c>
      <c r="G45" s="122"/>
      <c r="H45" s="120"/>
      <c r="I45" s="120"/>
      <c r="J45" s="120"/>
      <c r="K45" s="120"/>
      <c r="L45" s="120"/>
      <c r="M45" s="120"/>
      <c r="N45" s="120"/>
      <c r="O45" s="95"/>
      <c r="P45" s="120"/>
      <c r="Q45" s="120"/>
      <c r="R45" s="120"/>
      <c r="S45" s="120"/>
      <c r="T45" s="120"/>
      <c r="U45" s="120"/>
      <c r="V45" s="120"/>
      <c r="W45" s="120"/>
      <c r="X45" s="120"/>
      <c r="Y45" s="120"/>
      <c r="Z45" s="120"/>
      <c r="AA45" s="122"/>
      <c r="AB45" s="103">
        <f t="shared" si="12"/>
        <v>0</v>
      </c>
      <c r="AC45" s="122"/>
      <c r="AD45" s="122">
        <f>SUM(AD46:AD53)</f>
        <v>0</v>
      </c>
      <c r="AE45" s="104">
        <f t="shared" si="13"/>
        <v>0</v>
      </c>
      <c r="AF45" s="123"/>
      <c r="AG45" s="123"/>
      <c r="AH45" s="123"/>
      <c r="AI45" s="124"/>
      <c r="AJ45" s="124"/>
      <c r="AK45" s="125"/>
      <c r="AL45" s="126"/>
      <c r="AM45" s="127"/>
      <c r="AN45" s="100"/>
    </row>
    <row r="46" spans="1:40" s="39" customFormat="1" ht="63" customHeight="1" hidden="1">
      <c r="A46" s="140"/>
      <c r="B46" s="107"/>
      <c r="C46" s="107"/>
      <c r="D46" s="107"/>
      <c r="E46" s="1" t="s">
        <v>485</v>
      </c>
      <c r="F46" s="80">
        <f t="shared" si="2"/>
        <v>0</v>
      </c>
      <c r="G46" s="122"/>
      <c r="H46" s="120"/>
      <c r="I46" s="120"/>
      <c r="J46" s="120"/>
      <c r="K46" s="120"/>
      <c r="L46" s="120"/>
      <c r="M46" s="120"/>
      <c r="N46" s="120"/>
      <c r="O46" s="95"/>
      <c r="P46" s="120"/>
      <c r="Q46" s="120"/>
      <c r="R46" s="120"/>
      <c r="S46" s="120"/>
      <c r="T46" s="120"/>
      <c r="U46" s="120"/>
      <c r="V46" s="120"/>
      <c r="W46" s="120"/>
      <c r="X46" s="120"/>
      <c r="Y46" s="120"/>
      <c r="Z46" s="120"/>
      <c r="AA46" s="122"/>
      <c r="AB46" s="103">
        <f t="shared" si="12"/>
        <v>0</v>
      </c>
      <c r="AC46" s="122"/>
      <c r="AD46" s="122">
        <f>SUM(AD47:AD54)</f>
        <v>0</v>
      </c>
      <c r="AE46" s="104">
        <f t="shared" si="13"/>
        <v>0</v>
      </c>
      <c r="AF46" s="123"/>
      <c r="AG46" s="123"/>
      <c r="AH46" s="123"/>
      <c r="AI46" s="143"/>
      <c r="AJ46" s="124"/>
      <c r="AK46" s="125"/>
      <c r="AL46" s="126"/>
      <c r="AM46" s="127"/>
      <c r="AN46" s="100"/>
    </row>
    <row r="47" spans="1:40" s="39" customFormat="1" ht="84" customHeight="1">
      <c r="A47" s="76" t="s">
        <v>277</v>
      </c>
      <c r="B47" s="101" t="s">
        <v>460</v>
      </c>
      <c r="C47" s="101" t="s">
        <v>266</v>
      </c>
      <c r="D47" s="101" t="s">
        <v>286</v>
      </c>
      <c r="E47" s="102" t="s">
        <v>627</v>
      </c>
      <c r="F47" s="80">
        <f t="shared" si="2"/>
        <v>0</v>
      </c>
      <c r="G47" s="120">
        <f aca="true" t="shared" si="14" ref="G47:M47">SUM(G48:G63)</f>
        <v>0</v>
      </c>
      <c r="H47" s="120">
        <f t="shared" si="14"/>
        <v>0</v>
      </c>
      <c r="I47" s="139">
        <f t="shared" si="14"/>
        <v>582009.36</v>
      </c>
      <c r="J47" s="139">
        <f t="shared" si="14"/>
        <v>0</v>
      </c>
      <c r="K47" s="139">
        <f t="shared" si="14"/>
        <v>-1370000</v>
      </c>
      <c r="L47" s="139">
        <f t="shared" si="14"/>
        <v>-89687.36</v>
      </c>
      <c r="M47" s="139">
        <f t="shared" si="14"/>
        <v>-180000</v>
      </c>
      <c r="N47" s="139">
        <f>SUM(N48:N62)</f>
        <v>0</v>
      </c>
      <c r="O47" s="95">
        <f>SUM(P47:R47)</f>
        <v>0</v>
      </c>
      <c r="P47" s="139">
        <f aca="true" t="shared" si="15" ref="P47:AA47">SUM(P48:P63)</f>
        <v>0</v>
      </c>
      <c r="Q47" s="139">
        <f t="shared" si="15"/>
        <v>0</v>
      </c>
      <c r="R47" s="139">
        <f t="shared" si="15"/>
        <v>0</v>
      </c>
      <c r="S47" s="139">
        <f t="shared" si="15"/>
        <v>0</v>
      </c>
      <c r="T47" s="139">
        <f t="shared" si="15"/>
        <v>0</v>
      </c>
      <c r="U47" s="139">
        <f t="shared" si="15"/>
        <v>0</v>
      </c>
      <c r="V47" s="139">
        <f t="shared" si="15"/>
        <v>0</v>
      </c>
      <c r="W47" s="139">
        <f t="shared" si="15"/>
        <v>0</v>
      </c>
      <c r="X47" s="139">
        <f t="shared" si="15"/>
        <v>0</v>
      </c>
      <c r="Y47" s="139">
        <f t="shared" si="15"/>
        <v>0</v>
      </c>
      <c r="Z47" s="139">
        <f t="shared" si="15"/>
        <v>0</v>
      </c>
      <c r="AA47" s="139">
        <f t="shared" si="15"/>
        <v>0</v>
      </c>
      <c r="AB47" s="32">
        <f aca="true" t="shared" si="16" ref="AB47:AB55">SUM(G47:AA47)-O47</f>
        <v>-1057678</v>
      </c>
      <c r="AC47" s="139">
        <f>SUM(AC49:AC85)</f>
        <v>0</v>
      </c>
      <c r="AD47" s="144">
        <f>SUM(AD48:AD62)</f>
        <v>0</v>
      </c>
      <c r="AE47" s="104">
        <f>SUM(AB47:AD47)</f>
        <v>-1057678</v>
      </c>
      <c r="AF47" s="123"/>
      <c r="AG47" s="123"/>
      <c r="AH47" s="123"/>
      <c r="AI47" s="124"/>
      <c r="AJ47" s="124"/>
      <c r="AK47" s="125"/>
      <c r="AL47" s="126"/>
      <c r="AM47" s="127"/>
      <c r="AN47" s="100"/>
    </row>
    <row r="48" spans="1:40" s="39" customFormat="1" ht="36" customHeight="1" hidden="1">
      <c r="A48" s="140"/>
      <c r="B48" s="107"/>
      <c r="C48" s="107"/>
      <c r="D48" s="107"/>
      <c r="E48" s="108" t="s">
        <v>715</v>
      </c>
      <c r="F48" s="80">
        <f t="shared" si="2"/>
        <v>0</v>
      </c>
      <c r="G48" s="120"/>
      <c r="H48" s="110"/>
      <c r="I48" s="110"/>
      <c r="J48" s="110"/>
      <c r="K48" s="110"/>
      <c r="L48" s="110"/>
      <c r="M48" s="110"/>
      <c r="N48" s="110"/>
      <c r="O48" s="95"/>
      <c r="P48" s="109"/>
      <c r="Q48" s="109"/>
      <c r="R48" s="109"/>
      <c r="S48" s="110"/>
      <c r="T48" s="110"/>
      <c r="U48" s="110"/>
      <c r="V48" s="110"/>
      <c r="W48" s="110"/>
      <c r="X48" s="110"/>
      <c r="Y48" s="110"/>
      <c r="Z48" s="110"/>
      <c r="AA48" s="137"/>
      <c r="AB48" s="32">
        <f t="shared" si="16"/>
        <v>0</v>
      </c>
      <c r="AC48" s="120">
        <f>SUM(AC49:AC63)</f>
        <v>0</v>
      </c>
      <c r="AD48" s="122">
        <f>SUM(AD49:AD63)</f>
        <v>0</v>
      </c>
      <c r="AE48" s="104">
        <f aca="true" t="shared" si="17" ref="AE48:AE71">SUM(AB48:AD48)</f>
        <v>0</v>
      </c>
      <c r="AF48" s="123"/>
      <c r="AG48" s="123"/>
      <c r="AH48" s="123"/>
      <c r="AI48" s="124"/>
      <c r="AJ48" s="124"/>
      <c r="AK48" s="126"/>
      <c r="AL48" s="126"/>
      <c r="AM48" s="127"/>
      <c r="AN48" s="100"/>
    </row>
    <row r="49" spans="1:40" s="39" customFormat="1" ht="42.75" customHeight="1">
      <c r="A49" s="140"/>
      <c r="B49" s="107"/>
      <c r="C49" s="107"/>
      <c r="D49" s="107"/>
      <c r="E49" s="108" t="s">
        <v>570</v>
      </c>
      <c r="F49" s="80">
        <f t="shared" si="2"/>
        <v>0</v>
      </c>
      <c r="G49" s="145"/>
      <c r="H49" s="110"/>
      <c r="I49" s="109">
        <f>14187.36+43000-5968</f>
        <v>51219.36</v>
      </c>
      <c r="J49" s="109"/>
      <c r="K49" s="109">
        <v>-1370000</v>
      </c>
      <c r="L49" s="109">
        <f>-14187.36-43000-32500</f>
        <v>-89687.36</v>
      </c>
      <c r="M49" s="110">
        <v>-180000</v>
      </c>
      <c r="N49" s="110"/>
      <c r="O49" s="95"/>
      <c r="P49" s="109"/>
      <c r="Q49" s="109"/>
      <c r="R49" s="109"/>
      <c r="S49" s="110"/>
      <c r="T49" s="110"/>
      <c r="U49" s="110"/>
      <c r="V49" s="110"/>
      <c r="W49" s="110"/>
      <c r="X49" s="110"/>
      <c r="Y49" s="110"/>
      <c r="Z49" s="110"/>
      <c r="AA49" s="110"/>
      <c r="AB49" s="32">
        <f t="shared" si="16"/>
        <v>-1588468</v>
      </c>
      <c r="AC49" s="120">
        <f aca="true" t="shared" si="18" ref="AC49:AD52">SUM(AC53:AC64)</f>
        <v>0</v>
      </c>
      <c r="AD49" s="122">
        <f t="shared" si="18"/>
        <v>0</v>
      </c>
      <c r="AE49" s="104">
        <f t="shared" si="17"/>
        <v>-1588468</v>
      </c>
      <c r="AF49" s="123"/>
      <c r="AG49" s="123"/>
      <c r="AH49" s="123"/>
      <c r="AI49" s="124"/>
      <c r="AJ49" s="124"/>
      <c r="AK49" s="126"/>
      <c r="AL49" s="126"/>
      <c r="AM49" s="127"/>
      <c r="AN49" s="100"/>
    </row>
    <row r="50" spans="1:40" s="39" customFormat="1" ht="60.75" customHeight="1" hidden="1">
      <c r="A50" s="140"/>
      <c r="B50" s="107"/>
      <c r="C50" s="107"/>
      <c r="D50" s="107"/>
      <c r="E50" s="108" t="s">
        <v>716</v>
      </c>
      <c r="F50" s="80">
        <f t="shared" si="2"/>
        <v>0</v>
      </c>
      <c r="G50" s="139"/>
      <c r="H50" s="109"/>
      <c r="I50" s="109"/>
      <c r="J50" s="109"/>
      <c r="K50" s="109"/>
      <c r="L50" s="109"/>
      <c r="M50" s="109"/>
      <c r="N50" s="109"/>
      <c r="O50" s="95"/>
      <c r="P50" s="109"/>
      <c r="Q50" s="109"/>
      <c r="R50" s="109"/>
      <c r="S50" s="109"/>
      <c r="T50" s="109"/>
      <c r="U50" s="109"/>
      <c r="V50" s="109"/>
      <c r="W50" s="109"/>
      <c r="X50" s="109"/>
      <c r="Y50" s="109"/>
      <c r="Z50" s="109"/>
      <c r="AA50" s="109"/>
      <c r="AB50" s="32">
        <f t="shared" si="16"/>
        <v>0</v>
      </c>
      <c r="AC50" s="139">
        <f t="shared" si="18"/>
        <v>0</v>
      </c>
      <c r="AD50" s="144">
        <f t="shared" si="18"/>
        <v>0</v>
      </c>
      <c r="AE50" s="104">
        <f t="shared" si="17"/>
        <v>0</v>
      </c>
      <c r="AF50" s="123"/>
      <c r="AG50" s="123"/>
      <c r="AH50" s="123"/>
      <c r="AI50" s="124"/>
      <c r="AJ50" s="124"/>
      <c r="AK50" s="126"/>
      <c r="AL50" s="126"/>
      <c r="AM50" s="127"/>
      <c r="AN50" s="100"/>
    </row>
    <row r="51" spans="1:40" s="39" customFormat="1" ht="90" customHeight="1" hidden="1">
      <c r="A51" s="140"/>
      <c r="B51" s="107"/>
      <c r="C51" s="107"/>
      <c r="D51" s="107"/>
      <c r="E51" s="108" t="s">
        <v>717</v>
      </c>
      <c r="F51" s="80"/>
      <c r="G51" s="139"/>
      <c r="H51" s="109"/>
      <c r="I51" s="109"/>
      <c r="J51" s="109"/>
      <c r="K51" s="109"/>
      <c r="L51" s="109"/>
      <c r="M51" s="109"/>
      <c r="N51" s="109"/>
      <c r="O51" s="95"/>
      <c r="P51" s="109"/>
      <c r="Q51" s="109"/>
      <c r="R51" s="109"/>
      <c r="S51" s="109"/>
      <c r="T51" s="109"/>
      <c r="U51" s="109"/>
      <c r="V51" s="109"/>
      <c r="W51" s="109"/>
      <c r="X51" s="109"/>
      <c r="Y51" s="109"/>
      <c r="Z51" s="109"/>
      <c r="AA51" s="109"/>
      <c r="AB51" s="32">
        <f t="shared" si="16"/>
        <v>0</v>
      </c>
      <c r="AC51" s="139">
        <f t="shared" si="18"/>
        <v>0</v>
      </c>
      <c r="AD51" s="144">
        <f t="shared" si="18"/>
        <v>0</v>
      </c>
      <c r="AE51" s="104">
        <f>SUM(AB51:AD51)</f>
        <v>0</v>
      </c>
      <c r="AF51" s="123"/>
      <c r="AG51" s="123"/>
      <c r="AH51" s="123"/>
      <c r="AI51" s="124"/>
      <c r="AJ51" s="124"/>
      <c r="AK51" s="126"/>
      <c r="AL51" s="126"/>
      <c r="AM51" s="127"/>
      <c r="AN51" s="100"/>
    </row>
    <row r="52" spans="1:40" s="39" customFormat="1" ht="81" customHeight="1" hidden="1">
      <c r="A52" s="140"/>
      <c r="B52" s="107"/>
      <c r="C52" s="107"/>
      <c r="D52" s="107"/>
      <c r="E52" s="108" t="s">
        <v>718</v>
      </c>
      <c r="F52" s="80"/>
      <c r="G52" s="139"/>
      <c r="H52" s="109"/>
      <c r="I52" s="109"/>
      <c r="J52" s="109"/>
      <c r="K52" s="109"/>
      <c r="L52" s="109"/>
      <c r="M52" s="109"/>
      <c r="N52" s="109"/>
      <c r="O52" s="95"/>
      <c r="P52" s="109"/>
      <c r="Q52" s="109"/>
      <c r="R52" s="109"/>
      <c r="S52" s="109"/>
      <c r="T52" s="109"/>
      <c r="U52" s="109"/>
      <c r="V52" s="109"/>
      <c r="W52" s="109"/>
      <c r="X52" s="109"/>
      <c r="Y52" s="109"/>
      <c r="Z52" s="109"/>
      <c r="AA52" s="109"/>
      <c r="AB52" s="32">
        <f t="shared" si="16"/>
        <v>0</v>
      </c>
      <c r="AC52" s="139">
        <f t="shared" si="18"/>
        <v>0</v>
      </c>
      <c r="AD52" s="144">
        <f t="shared" si="18"/>
        <v>0</v>
      </c>
      <c r="AE52" s="104">
        <f>SUM(AB52:AD52)</f>
        <v>0</v>
      </c>
      <c r="AF52" s="123"/>
      <c r="AG52" s="123"/>
      <c r="AH52" s="123"/>
      <c r="AI52" s="124"/>
      <c r="AJ52" s="124"/>
      <c r="AK52" s="126"/>
      <c r="AL52" s="126"/>
      <c r="AM52" s="127"/>
      <c r="AN52" s="100"/>
    </row>
    <row r="53" spans="1:40" s="39" customFormat="1" ht="81" customHeight="1" hidden="1">
      <c r="A53" s="140"/>
      <c r="B53" s="107"/>
      <c r="C53" s="107"/>
      <c r="D53" s="107"/>
      <c r="E53" s="108" t="s">
        <v>634</v>
      </c>
      <c r="F53" s="80"/>
      <c r="G53" s="120"/>
      <c r="H53" s="110"/>
      <c r="I53" s="110"/>
      <c r="J53" s="110"/>
      <c r="K53" s="110"/>
      <c r="L53" s="110"/>
      <c r="M53" s="110"/>
      <c r="N53" s="110"/>
      <c r="O53" s="95"/>
      <c r="P53" s="110"/>
      <c r="Q53" s="110"/>
      <c r="R53" s="110"/>
      <c r="S53" s="110"/>
      <c r="T53" s="110"/>
      <c r="U53" s="110"/>
      <c r="V53" s="110"/>
      <c r="W53" s="110"/>
      <c r="X53" s="110"/>
      <c r="Y53" s="110"/>
      <c r="Z53" s="110"/>
      <c r="AA53" s="110"/>
      <c r="AB53" s="32">
        <f t="shared" si="16"/>
        <v>0</v>
      </c>
      <c r="AC53" s="120">
        <f>SUM(AC54:AC65)</f>
        <v>0</v>
      </c>
      <c r="AD53" s="122">
        <f>SUM(AD54:AD65)</f>
        <v>0</v>
      </c>
      <c r="AE53" s="104">
        <f t="shared" si="17"/>
        <v>0</v>
      </c>
      <c r="AF53" s="123"/>
      <c r="AG53" s="123"/>
      <c r="AH53" s="123"/>
      <c r="AI53" s="124"/>
      <c r="AJ53" s="124"/>
      <c r="AK53" s="126"/>
      <c r="AL53" s="126"/>
      <c r="AM53" s="127"/>
      <c r="AN53" s="100"/>
    </row>
    <row r="54" spans="1:40" s="39" customFormat="1" ht="123.75" customHeight="1" hidden="1">
      <c r="A54" s="140"/>
      <c r="B54" s="107"/>
      <c r="C54" s="107"/>
      <c r="D54" s="107"/>
      <c r="E54" s="108" t="s">
        <v>719</v>
      </c>
      <c r="F54" s="80">
        <f t="shared" si="2"/>
        <v>0</v>
      </c>
      <c r="G54" s="120"/>
      <c r="H54" s="110"/>
      <c r="I54" s="110"/>
      <c r="J54" s="110"/>
      <c r="K54" s="110"/>
      <c r="L54" s="110"/>
      <c r="M54" s="110"/>
      <c r="N54" s="110"/>
      <c r="O54" s="95"/>
      <c r="P54" s="110"/>
      <c r="Q54" s="110"/>
      <c r="R54" s="110"/>
      <c r="S54" s="110"/>
      <c r="T54" s="110"/>
      <c r="U54" s="110"/>
      <c r="V54" s="110"/>
      <c r="W54" s="110"/>
      <c r="X54" s="110"/>
      <c r="Y54" s="110"/>
      <c r="Z54" s="110"/>
      <c r="AA54" s="110"/>
      <c r="AB54" s="103">
        <f t="shared" si="16"/>
        <v>0</v>
      </c>
      <c r="AC54" s="110" t="s">
        <v>686</v>
      </c>
      <c r="AD54" s="110"/>
      <c r="AE54" s="104">
        <f t="shared" si="17"/>
        <v>0</v>
      </c>
      <c r="AF54" s="123"/>
      <c r="AG54" s="123"/>
      <c r="AH54" s="123"/>
      <c r="AI54" s="124"/>
      <c r="AJ54" s="124"/>
      <c r="AK54" s="126"/>
      <c r="AL54" s="126"/>
      <c r="AM54" s="127"/>
      <c r="AN54" s="100"/>
    </row>
    <row r="55" spans="1:40" s="39" customFormat="1" ht="74.25" customHeight="1" hidden="1">
      <c r="A55" s="140"/>
      <c r="B55" s="107"/>
      <c r="C55" s="107"/>
      <c r="D55" s="107"/>
      <c r="E55" s="108" t="s">
        <v>585</v>
      </c>
      <c r="F55" s="80">
        <f t="shared" si="2"/>
        <v>0</v>
      </c>
      <c r="G55" s="103"/>
      <c r="H55" s="120"/>
      <c r="I55" s="120"/>
      <c r="J55" s="120"/>
      <c r="K55" s="120"/>
      <c r="L55" s="120"/>
      <c r="M55" s="110"/>
      <c r="N55" s="110"/>
      <c r="O55" s="95"/>
      <c r="P55" s="110"/>
      <c r="Q55" s="110"/>
      <c r="R55" s="110"/>
      <c r="S55" s="110"/>
      <c r="T55" s="110"/>
      <c r="U55" s="110"/>
      <c r="V55" s="110"/>
      <c r="W55" s="110"/>
      <c r="X55" s="110"/>
      <c r="Y55" s="110"/>
      <c r="Z55" s="110"/>
      <c r="AA55" s="103"/>
      <c r="AB55" s="103">
        <f t="shared" si="16"/>
        <v>0</v>
      </c>
      <c r="AC55" s="110"/>
      <c r="AD55" s="110"/>
      <c r="AE55" s="104">
        <f t="shared" si="17"/>
        <v>0</v>
      </c>
      <c r="AF55" s="146"/>
      <c r="AG55" s="146"/>
      <c r="AH55" s="146"/>
      <c r="AI55" s="124"/>
      <c r="AJ55" s="124"/>
      <c r="AK55" s="126"/>
      <c r="AL55" s="126"/>
      <c r="AM55" s="127"/>
      <c r="AN55" s="100"/>
    </row>
    <row r="56" spans="1:40" s="39" customFormat="1" ht="96.75" customHeight="1">
      <c r="A56" s="140"/>
      <c r="B56" s="107"/>
      <c r="C56" s="107"/>
      <c r="D56" s="107"/>
      <c r="E56" s="108" t="s">
        <v>717</v>
      </c>
      <c r="F56" s="80">
        <f t="shared" si="2"/>
        <v>0</v>
      </c>
      <c r="G56" s="122"/>
      <c r="H56" s="110"/>
      <c r="I56" s="110">
        <v>526690</v>
      </c>
      <c r="J56" s="110"/>
      <c r="K56" s="110"/>
      <c r="L56" s="110"/>
      <c r="M56" s="110"/>
      <c r="N56" s="110"/>
      <c r="O56" s="95"/>
      <c r="P56" s="110"/>
      <c r="Q56" s="110"/>
      <c r="R56" s="110"/>
      <c r="S56" s="110"/>
      <c r="T56" s="110"/>
      <c r="U56" s="110"/>
      <c r="V56" s="110"/>
      <c r="W56" s="110"/>
      <c r="X56" s="110"/>
      <c r="Y56" s="110"/>
      <c r="Z56" s="110"/>
      <c r="AA56" s="137"/>
      <c r="AB56" s="103">
        <f aca="true" t="shared" si="19" ref="AB56:AB71">SUM(G56:AA56)-O56</f>
        <v>526690</v>
      </c>
      <c r="AC56" s="110"/>
      <c r="AD56" s="110"/>
      <c r="AE56" s="104">
        <f t="shared" si="17"/>
        <v>526690</v>
      </c>
      <c r="AF56" s="123"/>
      <c r="AG56" s="123"/>
      <c r="AH56" s="123"/>
      <c r="AI56" s="147"/>
      <c r="AJ56" s="147"/>
      <c r="AK56" s="126"/>
      <c r="AL56" s="126"/>
      <c r="AM56" s="127"/>
      <c r="AN56" s="100"/>
    </row>
    <row r="57" spans="1:40" s="39" customFormat="1" ht="99" customHeight="1" hidden="1">
      <c r="A57" s="140"/>
      <c r="B57" s="107"/>
      <c r="C57" s="107"/>
      <c r="D57" s="107"/>
      <c r="E57" s="108" t="s">
        <v>506</v>
      </c>
      <c r="F57" s="80">
        <f t="shared" si="2"/>
        <v>0</v>
      </c>
      <c r="G57" s="122"/>
      <c r="H57" s="110"/>
      <c r="I57" s="110"/>
      <c r="J57" s="110"/>
      <c r="K57" s="110"/>
      <c r="L57" s="110"/>
      <c r="M57" s="110"/>
      <c r="N57" s="110"/>
      <c r="O57" s="95"/>
      <c r="P57" s="110"/>
      <c r="Q57" s="110"/>
      <c r="R57" s="110"/>
      <c r="S57" s="110"/>
      <c r="T57" s="110"/>
      <c r="U57" s="110"/>
      <c r="V57" s="110"/>
      <c r="W57" s="110"/>
      <c r="X57" s="110"/>
      <c r="Y57" s="110"/>
      <c r="Z57" s="110"/>
      <c r="AA57" s="137"/>
      <c r="AB57" s="103">
        <f t="shared" si="19"/>
        <v>0</v>
      </c>
      <c r="AC57" s="110"/>
      <c r="AD57" s="110"/>
      <c r="AE57" s="104">
        <f t="shared" si="17"/>
        <v>0</v>
      </c>
      <c r="AF57" s="123"/>
      <c r="AG57" s="123"/>
      <c r="AH57" s="123"/>
      <c r="AI57" s="147"/>
      <c r="AJ57" s="147"/>
      <c r="AK57" s="126"/>
      <c r="AL57" s="126"/>
      <c r="AM57" s="127"/>
      <c r="AN57" s="100"/>
    </row>
    <row r="58" spans="1:40" s="39" customFormat="1" ht="60" customHeight="1" hidden="1">
      <c r="A58" s="140"/>
      <c r="B58" s="107"/>
      <c r="C58" s="107"/>
      <c r="D58" s="107"/>
      <c r="E58" s="108" t="s">
        <v>720</v>
      </c>
      <c r="F58" s="80">
        <f t="shared" si="2"/>
        <v>0</v>
      </c>
      <c r="G58" s="122"/>
      <c r="H58" s="110"/>
      <c r="I58" s="110"/>
      <c r="J58" s="110"/>
      <c r="K58" s="110"/>
      <c r="L58" s="110"/>
      <c r="M58" s="110"/>
      <c r="N58" s="110"/>
      <c r="O58" s="95"/>
      <c r="P58" s="110"/>
      <c r="Q58" s="110"/>
      <c r="R58" s="110"/>
      <c r="S58" s="110"/>
      <c r="T58" s="110"/>
      <c r="U58" s="110"/>
      <c r="V58" s="110"/>
      <c r="W58" s="110"/>
      <c r="X58" s="110"/>
      <c r="Y58" s="110"/>
      <c r="Z58" s="110"/>
      <c r="AA58" s="137"/>
      <c r="AB58" s="103">
        <f t="shared" si="19"/>
        <v>0</v>
      </c>
      <c r="AC58" s="110"/>
      <c r="AD58" s="110"/>
      <c r="AE58" s="104">
        <f t="shared" si="17"/>
        <v>0</v>
      </c>
      <c r="AF58" s="123"/>
      <c r="AG58" s="123"/>
      <c r="AH58" s="123"/>
      <c r="AI58" s="147"/>
      <c r="AJ58" s="147"/>
      <c r="AK58" s="126"/>
      <c r="AL58" s="126"/>
      <c r="AM58" s="127"/>
      <c r="AN58" s="100"/>
    </row>
    <row r="59" spans="1:40" s="39" customFormat="1" ht="84" customHeight="1" hidden="1">
      <c r="A59" s="140"/>
      <c r="B59" s="107"/>
      <c r="C59" s="107"/>
      <c r="D59" s="107"/>
      <c r="E59" s="108" t="s">
        <v>721</v>
      </c>
      <c r="F59" s="80">
        <f t="shared" si="2"/>
        <v>0</v>
      </c>
      <c r="G59" s="122"/>
      <c r="H59" s="110"/>
      <c r="I59" s="110"/>
      <c r="J59" s="110"/>
      <c r="K59" s="110"/>
      <c r="L59" s="110"/>
      <c r="M59" s="110"/>
      <c r="N59" s="110"/>
      <c r="O59" s="95"/>
      <c r="P59" s="110"/>
      <c r="Q59" s="110"/>
      <c r="R59" s="110"/>
      <c r="S59" s="110"/>
      <c r="T59" s="110"/>
      <c r="U59" s="110"/>
      <c r="V59" s="110"/>
      <c r="W59" s="110"/>
      <c r="X59" s="110"/>
      <c r="Y59" s="110"/>
      <c r="Z59" s="110"/>
      <c r="AA59" s="137"/>
      <c r="AB59" s="103">
        <f t="shared" si="19"/>
        <v>0</v>
      </c>
      <c r="AC59" s="110"/>
      <c r="AD59" s="110"/>
      <c r="AE59" s="104">
        <f t="shared" si="17"/>
        <v>0</v>
      </c>
      <c r="AF59" s="123"/>
      <c r="AG59" s="123"/>
      <c r="AH59" s="123"/>
      <c r="AI59" s="147"/>
      <c r="AJ59" s="147"/>
      <c r="AK59" s="126"/>
      <c r="AL59" s="126"/>
      <c r="AM59" s="127"/>
      <c r="AN59" s="100"/>
    </row>
    <row r="60" spans="1:40" s="39" customFormat="1" ht="84" customHeight="1" hidden="1">
      <c r="A60" s="140"/>
      <c r="B60" s="107"/>
      <c r="C60" s="107"/>
      <c r="D60" s="107"/>
      <c r="E60" s="108" t="s">
        <v>500</v>
      </c>
      <c r="F60" s="80">
        <f t="shared" si="2"/>
        <v>0</v>
      </c>
      <c r="G60" s="120"/>
      <c r="H60" s="110"/>
      <c r="I60" s="110"/>
      <c r="J60" s="110"/>
      <c r="K60" s="110"/>
      <c r="L60" s="110"/>
      <c r="M60" s="110"/>
      <c r="N60" s="110"/>
      <c r="O60" s="95"/>
      <c r="P60" s="110"/>
      <c r="Q60" s="110"/>
      <c r="R60" s="110"/>
      <c r="S60" s="110"/>
      <c r="T60" s="110"/>
      <c r="U60" s="110"/>
      <c r="V60" s="110"/>
      <c r="W60" s="110"/>
      <c r="X60" s="110"/>
      <c r="Y60" s="110"/>
      <c r="Z60" s="110"/>
      <c r="AA60" s="137"/>
      <c r="AB60" s="148">
        <f t="shared" si="19"/>
        <v>0</v>
      </c>
      <c r="AC60" s="148"/>
      <c r="AD60" s="148"/>
      <c r="AE60" s="149">
        <f t="shared" si="17"/>
        <v>0</v>
      </c>
      <c r="AF60" s="123"/>
      <c r="AG60" s="123"/>
      <c r="AH60" s="123"/>
      <c r="AI60" s="124"/>
      <c r="AJ60" s="124"/>
      <c r="AK60" s="126"/>
      <c r="AL60" s="126"/>
      <c r="AM60" s="127"/>
      <c r="AN60" s="100"/>
    </row>
    <row r="61" spans="1:40" s="39" customFormat="1" ht="50.25" customHeight="1" hidden="1">
      <c r="A61" s="140"/>
      <c r="B61" s="107"/>
      <c r="C61" s="107"/>
      <c r="D61" s="107"/>
      <c r="E61" s="108" t="s">
        <v>366</v>
      </c>
      <c r="F61" s="80">
        <f t="shared" si="2"/>
        <v>0</v>
      </c>
      <c r="G61" s="122"/>
      <c r="H61" s="110"/>
      <c r="I61" s="110"/>
      <c r="J61" s="110"/>
      <c r="K61" s="110"/>
      <c r="L61" s="110"/>
      <c r="M61" s="110"/>
      <c r="N61" s="110"/>
      <c r="O61" s="95"/>
      <c r="P61" s="110"/>
      <c r="Q61" s="110"/>
      <c r="R61" s="110"/>
      <c r="S61" s="110"/>
      <c r="T61" s="110"/>
      <c r="U61" s="110"/>
      <c r="V61" s="110"/>
      <c r="W61" s="110"/>
      <c r="X61" s="110"/>
      <c r="Y61" s="110"/>
      <c r="Z61" s="110"/>
      <c r="AA61" s="137"/>
      <c r="AB61" s="103">
        <f t="shared" si="19"/>
        <v>0</v>
      </c>
      <c r="AC61" s="110"/>
      <c r="AD61" s="110"/>
      <c r="AE61" s="104">
        <f t="shared" si="17"/>
        <v>0</v>
      </c>
      <c r="AF61" s="123"/>
      <c r="AG61" s="123"/>
      <c r="AH61" s="123"/>
      <c r="AI61" s="124"/>
      <c r="AJ61" s="124"/>
      <c r="AK61" s="125"/>
      <c r="AL61" s="126"/>
      <c r="AM61" s="127"/>
      <c r="AN61" s="100"/>
    </row>
    <row r="62" spans="1:40" s="39" customFormat="1" ht="69.75" customHeight="1" hidden="1">
      <c r="A62" s="140"/>
      <c r="B62" s="107"/>
      <c r="C62" s="107"/>
      <c r="D62" s="107"/>
      <c r="E62" s="108" t="s">
        <v>367</v>
      </c>
      <c r="F62" s="80">
        <f t="shared" si="2"/>
        <v>0</v>
      </c>
      <c r="G62" s="103"/>
      <c r="H62" s="110"/>
      <c r="I62" s="110"/>
      <c r="J62" s="110"/>
      <c r="K62" s="110"/>
      <c r="L62" s="110"/>
      <c r="M62" s="110"/>
      <c r="N62" s="110"/>
      <c r="O62" s="95"/>
      <c r="P62" s="110"/>
      <c r="Q62" s="110"/>
      <c r="R62" s="110"/>
      <c r="S62" s="110"/>
      <c r="T62" s="110"/>
      <c r="U62" s="110"/>
      <c r="V62" s="110"/>
      <c r="W62" s="110"/>
      <c r="X62" s="110"/>
      <c r="Y62" s="110"/>
      <c r="Z62" s="110"/>
      <c r="AA62" s="103"/>
      <c r="AB62" s="103">
        <f t="shared" si="19"/>
        <v>0</v>
      </c>
      <c r="AC62" s="110"/>
      <c r="AD62" s="110"/>
      <c r="AE62" s="104">
        <f t="shared" si="17"/>
        <v>0</v>
      </c>
      <c r="AF62" s="123"/>
      <c r="AG62" s="123"/>
      <c r="AH62" s="123"/>
      <c r="AI62" s="147"/>
      <c r="AJ62" s="147"/>
      <c r="AK62" s="125"/>
      <c r="AL62" s="150"/>
      <c r="AM62" s="127"/>
      <c r="AN62" s="100"/>
    </row>
    <row r="63" spans="1:40" s="39" customFormat="1" ht="60" customHeight="1">
      <c r="A63" s="140"/>
      <c r="B63" s="107"/>
      <c r="C63" s="107"/>
      <c r="D63" s="107"/>
      <c r="E63" s="108" t="s">
        <v>699</v>
      </c>
      <c r="F63" s="80">
        <f t="shared" si="2"/>
        <v>0</v>
      </c>
      <c r="G63" s="103"/>
      <c r="H63" s="110"/>
      <c r="I63" s="110">
        <v>4100</v>
      </c>
      <c r="J63" s="110"/>
      <c r="K63" s="110"/>
      <c r="L63" s="110"/>
      <c r="M63" s="110"/>
      <c r="N63" s="110"/>
      <c r="O63" s="95"/>
      <c r="P63" s="110"/>
      <c r="Q63" s="110"/>
      <c r="R63" s="110"/>
      <c r="S63" s="110"/>
      <c r="T63" s="110"/>
      <c r="U63" s="110"/>
      <c r="V63" s="110"/>
      <c r="W63" s="110"/>
      <c r="X63" s="110"/>
      <c r="Y63" s="110"/>
      <c r="Z63" s="110"/>
      <c r="AA63" s="103"/>
      <c r="AB63" s="103">
        <f t="shared" si="19"/>
        <v>4100</v>
      </c>
      <c r="AC63" s="110"/>
      <c r="AD63" s="110"/>
      <c r="AE63" s="104">
        <f t="shared" si="17"/>
        <v>4100</v>
      </c>
      <c r="AF63" s="123"/>
      <c r="AG63" s="123"/>
      <c r="AH63" s="123"/>
      <c r="AI63" s="147"/>
      <c r="AJ63" s="147"/>
      <c r="AK63" s="125"/>
      <c r="AL63" s="150"/>
      <c r="AM63" s="127"/>
      <c r="AN63" s="100"/>
    </row>
    <row r="64" spans="1:40" s="39" customFormat="1" ht="65.25" customHeight="1">
      <c r="A64" s="140"/>
      <c r="B64" s="76" t="s">
        <v>461</v>
      </c>
      <c r="C64" s="76" t="s">
        <v>262</v>
      </c>
      <c r="D64" s="76" t="s">
        <v>287</v>
      </c>
      <c r="E64" s="102" t="s">
        <v>628</v>
      </c>
      <c r="F64" s="80">
        <f t="shared" si="2"/>
        <v>0</v>
      </c>
      <c r="G64" s="110">
        <f>SUM(G65:G67)</f>
        <v>0</v>
      </c>
      <c r="H64" s="110">
        <f>SUM(H65:H67)</f>
        <v>0</v>
      </c>
      <c r="I64" s="110">
        <f>SUM(I65:I67)</f>
        <v>6440</v>
      </c>
      <c r="J64" s="110">
        <f aca="true" t="shared" si="20" ref="J64:AA64">SUM(J65:J67)</f>
        <v>0</v>
      </c>
      <c r="K64" s="110">
        <f t="shared" si="20"/>
        <v>0</v>
      </c>
      <c r="L64" s="110">
        <f t="shared" si="20"/>
        <v>-19440</v>
      </c>
      <c r="M64" s="110">
        <f t="shared" si="20"/>
        <v>-26000</v>
      </c>
      <c r="N64" s="110">
        <f t="shared" si="20"/>
        <v>0</v>
      </c>
      <c r="O64" s="95">
        <f t="shared" si="20"/>
        <v>0</v>
      </c>
      <c r="P64" s="109">
        <f t="shared" si="20"/>
        <v>0</v>
      </c>
      <c r="Q64" s="110">
        <f t="shared" si="20"/>
        <v>0</v>
      </c>
      <c r="R64" s="110">
        <f t="shared" si="20"/>
        <v>0</v>
      </c>
      <c r="S64" s="110">
        <f t="shared" si="20"/>
        <v>0</v>
      </c>
      <c r="T64" s="110">
        <f t="shared" si="20"/>
        <v>0</v>
      </c>
      <c r="U64" s="110">
        <f t="shared" si="20"/>
        <v>0</v>
      </c>
      <c r="V64" s="110">
        <f t="shared" si="20"/>
        <v>0</v>
      </c>
      <c r="W64" s="110">
        <f t="shared" si="20"/>
        <v>0</v>
      </c>
      <c r="X64" s="110">
        <f t="shared" si="20"/>
        <v>0</v>
      </c>
      <c r="Y64" s="110">
        <f t="shared" si="20"/>
        <v>0</v>
      </c>
      <c r="Z64" s="110">
        <f t="shared" si="20"/>
        <v>0</v>
      </c>
      <c r="AA64" s="110">
        <f t="shared" si="20"/>
        <v>0</v>
      </c>
      <c r="AB64" s="103">
        <f t="shared" si="19"/>
        <v>-39000</v>
      </c>
      <c r="AC64" s="110"/>
      <c r="AD64" s="110"/>
      <c r="AE64" s="104">
        <f t="shared" si="17"/>
        <v>-39000</v>
      </c>
      <c r="AF64" s="123"/>
      <c r="AG64" s="123"/>
      <c r="AH64" s="123"/>
      <c r="AI64" s="147"/>
      <c r="AJ64" s="147"/>
      <c r="AK64" s="125"/>
      <c r="AL64" s="150"/>
      <c r="AM64" s="127"/>
      <c r="AN64" s="100"/>
    </row>
    <row r="65" spans="1:40" s="127" customFormat="1" ht="58.5" customHeight="1">
      <c r="A65" s="76" t="s">
        <v>278</v>
      </c>
      <c r="B65" s="76"/>
      <c r="C65" s="76"/>
      <c r="D65" s="76"/>
      <c r="E65" s="108" t="s">
        <v>550</v>
      </c>
      <c r="F65" s="80">
        <f t="shared" si="2"/>
        <v>0</v>
      </c>
      <c r="G65" s="151"/>
      <c r="H65" s="152"/>
      <c r="I65" s="152">
        <f>2640+3800</f>
        <v>6440</v>
      </c>
      <c r="J65" s="152"/>
      <c r="K65" s="152"/>
      <c r="L65" s="152">
        <f>-2640-13000-3800</f>
        <v>-19440</v>
      </c>
      <c r="M65" s="152">
        <v>-26000</v>
      </c>
      <c r="N65" s="152"/>
      <c r="O65" s="153"/>
      <c r="P65" s="154"/>
      <c r="Q65" s="152"/>
      <c r="R65" s="152"/>
      <c r="S65" s="152"/>
      <c r="T65" s="152"/>
      <c r="U65" s="152"/>
      <c r="V65" s="152"/>
      <c r="W65" s="152"/>
      <c r="X65" s="152"/>
      <c r="Y65" s="152"/>
      <c r="Z65" s="152"/>
      <c r="AA65" s="151"/>
      <c r="AB65" s="103">
        <f t="shared" si="19"/>
        <v>-39000</v>
      </c>
      <c r="AC65" s="110"/>
      <c r="AD65" s="110"/>
      <c r="AE65" s="104">
        <f t="shared" si="17"/>
        <v>-39000</v>
      </c>
      <c r="AF65" s="155"/>
      <c r="AG65" s="155"/>
      <c r="AH65" s="155"/>
      <c r="AI65" s="147"/>
      <c r="AJ65" s="147"/>
      <c r="AK65" s="125"/>
      <c r="AL65" s="150"/>
      <c r="AN65" s="156"/>
    </row>
    <row r="66" spans="1:40" s="127" customFormat="1" ht="81.75" customHeight="1" hidden="1">
      <c r="A66" s="76"/>
      <c r="B66" s="76"/>
      <c r="C66" s="76"/>
      <c r="D66" s="76"/>
      <c r="E66" s="108" t="s">
        <v>635</v>
      </c>
      <c r="F66" s="80"/>
      <c r="G66" s="151"/>
      <c r="H66" s="152"/>
      <c r="I66" s="152"/>
      <c r="J66" s="152"/>
      <c r="K66" s="152"/>
      <c r="L66" s="152"/>
      <c r="M66" s="152"/>
      <c r="N66" s="152"/>
      <c r="O66" s="153"/>
      <c r="P66" s="152"/>
      <c r="Q66" s="152"/>
      <c r="R66" s="152"/>
      <c r="S66" s="152"/>
      <c r="T66" s="152"/>
      <c r="U66" s="152"/>
      <c r="V66" s="152"/>
      <c r="W66" s="152"/>
      <c r="X66" s="152"/>
      <c r="Y66" s="152"/>
      <c r="Z66" s="152"/>
      <c r="AA66" s="151"/>
      <c r="AB66" s="103">
        <f t="shared" si="19"/>
        <v>0</v>
      </c>
      <c r="AC66" s="110"/>
      <c r="AD66" s="110"/>
      <c r="AE66" s="104">
        <f t="shared" si="17"/>
        <v>0</v>
      </c>
      <c r="AF66" s="155"/>
      <c r="AG66" s="155"/>
      <c r="AH66" s="155"/>
      <c r="AI66" s="147"/>
      <c r="AJ66" s="147"/>
      <c r="AK66" s="125"/>
      <c r="AL66" s="150"/>
      <c r="AN66" s="156"/>
    </row>
    <row r="67" spans="1:40" s="127" customFormat="1" ht="61.5" customHeight="1" hidden="1">
      <c r="A67" s="76"/>
      <c r="B67" s="76"/>
      <c r="C67" s="76"/>
      <c r="D67" s="76"/>
      <c r="E67" s="108" t="s">
        <v>209</v>
      </c>
      <c r="F67" s="80">
        <f t="shared" si="2"/>
        <v>0</v>
      </c>
      <c r="G67" s="151"/>
      <c r="H67" s="152"/>
      <c r="I67" s="152"/>
      <c r="J67" s="152"/>
      <c r="K67" s="152"/>
      <c r="L67" s="152"/>
      <c r="M67" s="152"/>
      <c r="N67" s="152"/>
      <c r="O67" s="153"/>
      <c r="P67" s="152"/>
      <c r="Q67" s="152"/>
      <c r="R67" s="152"/>
      <c r="S67" s="152"/>
      <c r="T67" s="152"/>
      <c r="U67" s="152"/>
      <c r="V67" s="152"/>
      <c r="W67" s="152"/>
      <c r="X67" s="152"/>
      <c r="Y67" s="152"/>
      <c r="Z67" s="152"/>
      <c r="AA67" s="151"/>
      <c r="AB67" s="151">
        <f t="shared" si="19"/>
        <v>0</v>
      </c>
      <c r="AC67" s="152"/>
      <c r="AD67" s="151"/>
      <c r="AE67" s="157">
        <f t="shared" si="17"/>
        <v>0</v>
      </c>
      <c r="AF67" s="158"/>
      <c r="AG67" s="158"/>
      <c r="AH67" s="158"/>
      <c r="AI67" s="147"/>
      <c r="AJ67" s="147"/>
      <c r="AK67" s="125"/>
      <c r="AL67" s="150"/>
      <c r="AN67" s="156"/>
    </row>
    <row r="68" spans="1:40" s="127" customFormat="1" ht="54.75" customHeight="1">
      <c r="A68" s="76" t="s">
        <v>347</v>
      </c>
      <c r="B68" s="101" t="s">
        <v>462</v>
      </c>
      <c r="C68" s="101" t="s">
        <v>463</v>
      </c>
      <c r="D68" s="101" t="s">
        <v>288</v>
      </c>
      <c r="E68" s="102" t="s">
        <v>648</v>
      </c>
      <c r="F68" s="80">
        <f t="shared" si="2"/>
        <v>0</v>
      </c>
      <c r="G68" s="152">
        <f>SUM(G69:G70)</f>
        <v>0</v>
      </c>
      <c r="H68" s="152">
        <f>SUM(H69:H70)</f>
        <v>0</v>
      </c>
      <c r="I68" s="152">
        <f aca="true" t="shared" si="21" ref="I68:AA68">SUM(I69:I70)</f>
        <v>0</v>
      </c>
      <c r="J68" s="152">
        <f t="shared" si="21"/>
        <v>0</v>
      </c>
      <c r="K68" s="152">
        <f t="shared" si="21"/>
        <v>0</v>
      </c>
      <c r="L68" s="152">
        <f t="shared" si="21"/>
        <v>0</v>
      </c>
      <c r="M68" s="152">
        <f t="shared" si="21"/>
        <v>-17000</v>
      </c>
      <c r="N68" s="152">
        <f t="shared" si="21"/>
        <v>0</v>
      </c>
      <c r="O68" s="152">
        <f t="shared" si="21"/>
        <v>0</v>
      </c>
      <c r="P68" s="152">
        <f t="shared" si="21"/>
        <v>0</v>
      </c>
      <c r="Q68" s="152">
        <f t="shared" si="21"/>
        <v>0</v>
      </c>
      <c r="R68" s="152">
        <f t="shared" si="21"/>
        <v>0</v>
      </c>
      <c r="S68" s="152">
        <f t="shared" si="21"/>
        <v>0</v>
      </c>
      <c r="T68" s="152">
        <f t="shared" si="21"/>
        <v>0</v>
      </c>
      <c r="U68" s="152">
        <f t="shared" si="21"/>
        <v>0</v>
      </c>
      <c r="V68" s="152">
        <f t="shared" si="21"/>
        <v>0</v>
      </c>
      <c r="W68" s="152">
        <f t="shared" si="21"/>
        <v>0</v>
      </c>
      <c r="X68" s="152">
        <f t="shared" si="21"/>
        <v>0</v>
      </c>
      <c r="Y68" s="152">
        <f t="shared" si="21"/>
        <v>0</v>
      </c>
      <c r="Z68" s="152">
        <f t="shared" si="21"/>
        <v>0</v>
      </c>
      <c r="AA68" s="152">
        <f t="shared" si="21"/>
        <v>0</v>
      </c>
      <c r="AB68" s="151">
        <f>SUM(G68:AA68)-O68</f>
        <v>-17000</v>
      </c>
      <c r="AC68" s="152"/>
      <c r="AD68" s="151"/>
      <c r="AE68" s="157">
        <f t="shared" si="17"/>
        <v>-17000</v>
      </c>
      <c r="AF68" s="155"/>
      <c r="AG68" s="155"/>
      <c r="AH68" s="155"/>
      <c r="AI68" s="147"/>
      <c r="AJ68" s="147"/>
      <c r="AK68" s="125"/>
      <c r="AL68" s="150"/>
      <c r="AN68" s="156"/>
    </row>
    <row r="69" spans="1:40" s="127" customFormat="1" ht="46.5" customHeight="1">
      <c r="A69" s="76"/>
      <c r="B69" s="101"/>
      <c r="C69" s="101"/>
      <c r="D69" s="101"/>
      <c r="E69" s="108" t="s">
        <v>672</v>
      </c>
      <c r="F69" s="80">
        <f t="shared" si="2"/>
        <v>0</v>
      </c>
      <c r="G69" s="152"/>
      <c r="H69" s="152"/>
      <c r="I69" s="152"/>
      <c r="J69" s="152"/>
      <c r="K69" s="152"/>
      <c r="L69" s="152"/>
      <c r="M69" s="152">
        <v>-17000</v>
      </c>
      <c r="N69" s="152"/>
      <c r="O69" s="153"/>
      <c r="P69" s="152"/>
      <c r="Q69" s="152"/>
      <c r="R69" s="152"/>
      <c r="S69" s="152"/>
      <c r="T69" s="152"/>
      <c r="U69" s="152"/>
      <c r="V69" s="152"/>
      <c r="W69" s="152"/>
      <c r="X69" s="152"/>
      <c r="Y69" s="152"/>
      <c r="Z69" s="152"/>
      <c r="AA69" s="151"/>
      <c r="AB69" s="151">
        <f>SUM(G69:AA69)-O69</f>
        <v>-17000</v>
      </c>
      <c r="AC69" s="152"/>
      <c r="AD69" s="151"/>
      <c r="AE69" s="157">
        <f>SUM(AB69:AD69)</f>
        <v>-17000</v>
      </c>
      <c r="AF69" s="155"/>
      <c r="AG69" s="155"/>
      <c r="AH69" s="155"/>
      <c r="AI69" s="147"/>
      <c r="AJ69" s="147"/>
      <c r="AK69" s="125"/>
      <c r="AL69" s="150"/>
      <c r="AN69" s="156"/>
    </row>
    <row r="70" spans="1:40" s="127" customFormat="1" ht="81" customHeight="1" hidden="1">
      <c r="A70" s="76"/>
      <c r="B70" s="101"/>
      <c r="C70" s="101"/>
      <c r="D70" s="101"/>
      <c r="E70" s="108" t="s">
        <v>227</v>
      </c>
      <c r="F70" s="80">
        <f t="shared" si="2"/>
        <v>0</v>
      </c>
      <c r="G70" s="151"/>
      <c r="H70" s="152"/>
      <c r="I70" s="152"/>
      <c r="J70" s="152"/>
      <c r="K70" s="152"/>
      <c r="L70" s="152"/>
      <c r="M70" s="152"/>
      <c r="N70" s="152"/>
      <c r="O70" s="153"/>
      <c r="P70" s="152"/>
      <c r="Q70" s="152"/>
      <c r="R70" s="152"/>
      <c r="S70" s="152"/>
      <c r="T70" s="152"/>
      <c r="U70" s="152"/>
      <c r="V70" s="152"/>
      <c r="W70" s="152"/>
      <c r="X70" s="152"/>
      <c r="Y70" s="152"/>
      <c r="Z70" s="152"/>
      <c r="AA70" s="151"/>
      <c r="AB70" s="151">
        <f>SUM(G70:AA70)-O70</f>
        <v>0</v>
      </c>
      <c r="AC70" s="152"/>
      <c r="AD70" s="151"/>
      <c r="AE70" s="157">
        <f>SUM(AB70:AD70)</f>
        <v>0</v>
      </c>
      <c r="AF70" s="155"/>
      <c r="AG70" s="155"/>
      <c r="AH70" s="155"/>
      <c r="AI70" s="147"/>
      <c r="AJ70" s="147"/>
      <c r="AK70" s="125"/>
      <c r="AL70" s="150"/>
      <c r="AN70" s="156"/>
    </row>
    <row r="71" spans="1:40" s="39" customFormat="1" ht="43.5" customHeight="1">
      <c r="A71" s="76" t="s">
        <v>279</v>
      </c>
      <c r="B71" s="101" t="s">
        <v>465</v>
      </c>
      <c r="C71" s="101" t="s">
        <v>466</v>
      </c>
      <c r="D71" s="101" t="s">
        <v>288</v>
      </c>
      <c r="E71" s="102" t="s">
        <v>467</v>
      </c>
      <c r="F71" s="80">
        <f t="shared" si="2"/>
        <v>0</v>
      </c>
      <c r="G71" s="103">
        <f>SUM(G72:G77)</f>
        <v>0</v>
      </c>
      <c r="H71" s="103">
        <f>SUM(H72:H77)</f>
        <v>0</v>
      </c>
      <c r="I71" s="103">
        <f>SUM(I72:I77)</f>
        <v>16270</v>
      </c>
      <c r="J71" s="103">
        <f aca="true" t="shared" si="22" ref="J71:AA71">SUM(J72:J77)</f>
        <v>0</v>
      </c>
      <c r="K71" s="103">
        <f t="shared" si="22"/>
        <v>0</v>
      </c>
      <c r="L71" s="103">
        <f t="shared" si="22"/>
        <v>-16270</v>
      </c>
      <c r="M71" s="103">
        <f t="shared" si="22"/>
        <v>0</v>
      </c>
      <c r="N71" s="103">
        <f t="shared" si="22"/>
        <v>0</v>
      </c>
      <c r="O71" s="80">
        <f t="shared" si="22"/>
        <v>0</v>
      </c>
      <c r="P71" s="32">
        <f t="shared" si="22"/>
        <v>0</v>
      </c>
      <c r="Q71" s="103">
        <f t="shared" si="22"/>
        <v>0</v>
      </c>
      <c r="R71" s="103">
        <f t="shared" si="22"/>
        <v>0</v>
      </c>
      <c r="S71" s="103">
        <f t="shared" si="22"/>
        <v>0</v>
      </c>
      <c r="T71" s="103">
        <f t="shared" si="22"/>
        <v>0</v>
      </c>
      <c r="U71" s="103">
        <f t="shared" si="22"/>
        <v>0</v>
      </c>
      <c r="V71" s="103">
        <f t="shared" si="22"/>
        <v>0</v>
      </c>
      <c r="W71" s="103">
        <f t="shared" si="22"/>
        <v>0</v>
      </c>
      <c r="X71" s="103">
        <f t="shared" si="22"/>
        <v>0</v>
      </c>
      <c r="Y71" s="103">
        <f t="shared" si="22"/>
        <v>0</v>
      </c>
      <c r="Z71" s="103">
        <f t="shared" si="22"/>
        <v>0</v>
      </c>
      <c r="AA71" s="103">
        <f t="shared" si="22"/>
        <v>0</v>
      </c>
      <c r="AB71" s="103">
        <f t="shared" si="19"/>
        <v>0</v>
      </c>
      <c r="AC71" s="110"/>
      <c r="AD71" s="103"/>
      <c r="AE71" s="104">
        <f t="shared" si="17"/>
        <v>0</v>
      </c>
      <c r="AF71" s="12"/>
      <c r="AG71" s="12"/>
      <c r="AH71" s="12"/>
      <c r="AI71" s="147"/>
      <c r="AJ71" s="147"/>
      <c r="AK71" s="124"/>
      <c r="AL71" s="127"/>
      <c r="AM71" s="127"/>
      <c r="AN71" s="100"/>
    </row>
    <row r="72" spans="1:40" s="39" customFormat="1" ht="41.25" customHeight="1">
      <c r="A72" s="76"/>
      <c r="B72" s="107"/>
      <c r="C72" s="107"/>
      <c r="D72" s="107"/>
      <c r="E72" s="108" t="s">
        <v>568</v>
      </c>
      <c r="F72" s="80">
        <f t="shared" si="2"/>
        <v>0</v>
      </c>
      <c r="G72" s="110"/>
      <c r="H72" s="110"/>
      <c r="I72" s="110">
        <f>4068+2014</f>
        <v>6082</v>
      </c>
      <c r="J72" s="110"/>
      <c r="K72" s="110"/>
      <c r="L72" s="110">
        <f>-4068-2014</f>
        <v>-6082</v>
      </c>
      <c r="M72" s="110"/>
      <c r="N72" s="110"/>
      <c r="O72" s="95"/>
      <c r="P72" s="109"/>
      <c r="Q72" s="110"/>
      <c r="R72" s="110"/>
      <c r="S72" s="110"/>
      <c r="T72" s="110"/>
      <c r="U72" s="110"/>
      <c r="V72" s="110"/>
      <c r="W72" s="110"/>
      <c r="X72" s="110"/>
      <c r="Y72" s="110"/>
      <c r="Z72" s="110"/>
      <c r="AA72" s="103"/>
      <c r="AB72" s="103">
        <f aca="true" t="shared" si="23" ref="AB72:AB77">SUM(G72:AA72)-O72</f>
        <v>0</v>
      </c>
      <c r="AC72" s="110"/>
      <c r="AD72" s="103"/>
      <c r="AE72" s="104">
        <f aca="true" t="shared" si="24" ref="AE72:AE77">SUM(AB72:AD72)</f>
        <v>0</v>
      </c>
      <c r="AF72" s="138"/>
      <c r="AG72" s="138"/>
      <c r="AH72" s="138"/>
      <c r="AI72" s="147"/>
      <c r="AJ72" s="147"/>
      <c r="AK72" s="124"/>
      <c r="AL72" s="127"/>
      <c r="AM72" s="127"/>
      <c r="AN72" s="100"/>
    </row>
    <row r="73" spans="1:40" s="39" customFormat="1" ht="75" customHeight="1" hidden="1">
      <c r="A73" s="76"/>
      <c r="B73" s="107"/>
      <c r="C73" s="107"/>
      <c r="D73" s="107"/>
      <c r="E73" s="108" t="s">
        <v>647</v>
      </c>
      <c r="F73" s="80">
        <f t="shared" si="2"/>
        <v>0</v>
      </c>
      <c r="G73" s="103"/>
      <c r="H73" s="110"/>
      <c r="I73" s="110"/>
      <c r="J73" s="110"/>
      <c r="K73" s="110"/>
      <c r="L73" s="110"/>
      <c r="M73" s="110"/>
      <c r="N73" s="110"/>
      <c r="O73" s="95"/>
      <c r="P73" s="109"/>
      <c r="Q73" s="110"/>
      <c r="R73" s="110"/>
      <c r="S73" s="110"/>
      <c r="T73" s="110"/>
      <c r="U73" s="110"/>
      <c r="V73" s="110"/>
      <c r="W73" s="110"/>
      <c r="X73" s="110"/>
      <c r="Y73" s="110"/>
      <c r="Z73" s="110"/>
      <c r="AA73" s="103"/>
      <c r="AB73" s="103">
        <f t="shared" si="23"/>
        <v>0</v>
      </c>
      <c r="AC73" s="110"/>
      <c r="AD73" s="103"/>
      <c r="AE73" s="104">
        <f t="shared" si="24"/>
        <v>0</v>
      </c>
      <c r="AF73" s="138"/>
      <c r="AG73" s="138"/>
      <c r="AH73" s="138"/>
      <c r="AI73" s="147"/>
      <c r="AJ73" s="147"/>
      <c r="AK73" s="124"/>
      <c r="AL73" s="127"/>
      <c r="AM73" s="127"/>
      <c r="AN73" s="100"/>
    </row>
    <row r="74" spans="1:40" s="39" customFormat="1" ht="60" customHeight="1">
      <c r="A74" s="76"/>
      <c r="B74" s="107"/>
      <c r="C74" s="107"/>
      <c r="D74" s="107"/>
      <c r="E74" s="108" t="s">
        <v>569</v>
      </c>
      <c r="F74" s="80">
        <f t="shared" si="2"/>
        <v>0</v>
      </c>
      <c r="G74" s="110"/>
      <c r="H74" s="110"/>
      <c r="I74" s="110">
        <v>10188</v>
      </c>
      <c r="J74" s="110"/>
      <c r="K74" s="110"/>
      <c r="L74" s="110">
        <v>-10188</v>
      </c>
      <c r="M74" s="110"/>
      <c r="N74" s="110"/>
      <c r="O74" s="95"/>
      <c r="P74" s="109"/>
      <c r="Q74" s="110"/>
      <c r="R74" s="110"/>
      <c r="S74" s="110"/>
      <c r="T74" s="110"/>
      <c r="U74" s="110"/>
      <c r="V74" s="110"/>
      <c r="W74" s="110"/>
      <c r="X74" s="110"/>
      <c r="Y74" s="110"/>
      <c r="Z74" s="110"/>
      <c r="AA74" s="103"/>
      <c r="AB74" s="103">
        <f t="shared" si="23"/>
        <v>0</v>
      </c>
      <c r="AC74" s="110"/>
      <c r="AD74" s="103"/>
      <c r="AE74" s="104">
        <f t="shared" si="24"/>
        <v>0</v>
      </c>
      <c r="AF74" s="138"/>
      <c r="AG74" s="138"/>
      <c r="AH74" s="138"/>
      <c r="AI74" s="147"/>
      <c r="AJ74" s="147"/>
      <c r="AK74" s="124"/>
      <c r="AL74" s="127"/>
      <c r="AM74" s="127"/>
      <c r="AN74" s="100"/>
    </row>
    <row r="75" spans="1:40" s="39" customFormat="1" ht="117" customHeight="1" hidden="1">
      <c r="A75" s="76"/>
      <c r="B75" s="107"/>
      <c r="C75" s="107"/>
      <c r="D75" s="107"/>
      <c r="E75" s="108" t="s">
        <v>636</v>
      </c>
      <c r="F75" s="80">
        <f t="shared" si="2"/>
        <v>0</v>
      </c>
      <c r="G75" s="103"/>
      <c r="H75" s="110"/>
      <c r="I75" s="110"/>
      <c r="J75" s="110"/>
      <c r="K75" s="110"/>
      <c r="L75" s="110"/>
      <c r="M75" s="110"/>
      <c r="N75" s="110"/>
      <c r="O75" s="95"/>
      <c r="P75" s="109"/>
      <c r="Q75" s="110"/>
      <c r="R75" s="110"/>
      <c r="S75" s="110"/>
      <c r="T75" s="110"/>
      <c r="U75" s="110"/>
      <c r="V75" s="110"/>
      <c r="W75" s="110"/>
      <c r="X75" s="110"/>
      <c r="Y75" s="110"/>
      <c r="Z75" s="110"/>
      <c r="AA75" s="103"/>
      <c r="AB75" s="103">
        <f t="shared" si="23"/>
        <v>0</v>
      </c>
      <c r="AC75" s="110"/>
      <c r="AD75" s="103"/>
      <c r="AE75" s="104">
        <f t="shared" si="24"/>
        <v>0</v>
      </c>
      <c r="AF75" s="138"/>
      <c r="AG75" s="138"/>
      <c r="AH75" s="138"/>
      <c r="AI75" s="147"/>
      <c r="AJ75" s="147"/>
      <c r="AK75" s="124"/>
      <c r="AL75" s="127"/>
      <c r="AM75" s="127"/>
      <c r="AN75" s="100"/>
    </row>
    <row r="76" spans="1:40" s="39" customFormat="1" ht="59.25" customHeight="1" hidden="1">
      <c r="A76" s="76"/>
      <c r="B76" s="107"/>
      <c r="C76" s="107"/>
      <c r="D76" s="107"/>
      <c r="E76" s="108" t="s">
        <v>567</v>
      </c>
      <c r="F76" s="80">
        <f t="shared" si="2"/>
        <v>0</v>
      </c>
      <c r="G76" s="110"/>
      <c r="H76" s="110"/>
      <c r="I76" s="110"/>
      <c r="J76" s="110"/>
      <c r="K76" s="110"/>
      <c r="L76" s="110"/>
      <c r="M76" s="110"/>
      <c r="N76" s="110"/>
      <c r="O76" s="95"/>
      <c r="P76" s="109"/>
      <c r="Q76" s="110"/>
      <c r="R76" s="110"/>
      <c r="S76" s="110"/>
      <c r="T76" s="110"/>
      <c r="U76" s="110"/>
      <c r="V76" s="110"/>
      <c r="W76" s="110"/>
      <c r="X76" s="110"/>
      <c r="Y76" s="110"/>
      <c r="Z76" s="110"/>
      <c r="AA76" s="103"/>
      <c r="AB76" s="103">
        <f t="shared" si="23"/>
        <v>0</v>
      </c>
      <c r="AC76" s="110"/>
      <c r="AD76" s="103"/>
      <c r="AE76" s="104">
        <f t="shared" si="24"/>
        <v>0</v>
      </c>
      <c r="AF76" s="138"/>
      <c r="AG76" s="138"/>
      <c r="AH76" s="138"/>
      <c r="AI76" s="147"/>
      <c r="AJ76" s="147"/>
      <c r="AK76" s="124"/>
      <c r="AL76" s="127"/>
      <c r="AM76" s="127"/>
      <c r="AN76" s="100"/>
    </row>
    <row r="77" spans="1:40" s="39" customFormat="1" ht="100.5" customHeight="1" hidden="1">
      <c r="A77" s="76"/>
      <c r="B77" s="107"/>
      <c r="C77" s="107"/>
      <c r="D77" s="107"/>
      <c r="E77" s="108" t="s">
        <v>637</v>
      </c>
      <c r="F77" s="80">
        <f t="shared" si="2"/>
        <v>0</v>
      </c>
      <c r="G77" s="103"/>
      <c r="H77" s="110"/>
      <c r="I77" s="110"/>
      <c r="J77" s="110"/>
      <c r="K77" s="110"/>
      <c r="L77" s="110"/>
      <c r="M77" s="110"/>
      <c r="N77" s="110"/>
      <c r="O77" s="95"/>
      <c r="P77" s="110"/>
      <c r="Q77" s="110"/>
      <c r="R77" s="110"/>
      <c r="S77" s="110"/>
      <c r="T77" s="110"/>
      <c r="U77" s="110"/>
      <c r="V77" s="110"/>
      <c r="W77" s="110"/>
      <c r="X77" s="110"/>
      <c r="Y77" s="110"/>
      <c r="Z77" s="110"/>
      <c r="AA77" s="103"/>
      <c r="AB77" s="103">
        <f t="shared" si="23"/>
        <v>0</v>
      </c>
      <c r="AC77" s="110"/>
      <c r="AD77" s="103"/>
      <c r="AE77" s="104">
        <f t="shared" si="24"/>
        <v>0</v>
      </c>
      <c r="AF77" s="138"/>
      <c r="AG77" s="138"/>
      <c r="AH77" s="138"/>
      <c r="AI77" s="147"/>
      <c r="AJ77" s="147"/>
      <c r="AK77" s="124"/>
      <c r="AL77" s="127"/>
      <c r="AM77" s="127"/>
      <c r="AN77" s="100"/>
    </row>
    <row r="78" spans="1:40" s="39" customFormat="1" ht="46.5" customHeight="1" hidden="1">
      <c r="A78" s="76" t="s">
        <v>280</v>
      </c>
      <c r="B78" s="101" t="s">
        <v>1</v>
      </c>
      <c r="C78" s="101" t="s">
        <v>2</v>
      </c>
      <c r="D78" s="101" t="s">
        <v>288</v>
      </c>
      <c r="E78" s="102" t="s">
        <v>3</v>
      </c>
      <c r="F78" s="80">
        <f t="shared" si="2"/>
        <v>0</v>
      </c>
      <c r="G78" s="103">
        <f>SUM(G79:G80)</f>
        <v>0</v>
      </c>
      <c r="H78" s="103">
        <f aca="true" t="shared" si="25" ref="H78:AA78">SUM(H79:H80)</f>
        <v>0</v>
      </c>
      <c r="I78" s="103">
        <f t="shared" si="25"/>
        <v>0</v>
      </c>
      <c r="J78" s="103">
        <f t="shared" si="25"/>
        <v>0</v>
      </c>
      <c r="K78" s="103">
        <f t="shared" si="25"/>
        <v>0</v>
      </c>
      <c r="L78" s="103">
        <f>SUM(L79:L80)</f>
        <v>0</v>
      </c>
      <c r="M78" s="103">
        <f t="shared" si="25"/>
        <v>0</v>
      </c>
      <c r="N78" s="103">
        <f t="shared" si="25"/>
        <v>0</v>
      </c>
      <c r="O78" s="95">
        <f>SUM(P78:R78)</f>
        <v>0</v>
      </c>
      <c r="P78" s="103">
        <f t="shared" si="25"/>
        <v>0</v>
      </c>
      <c r="Q78" s="103">
        <f t="shared" si="25"/>
        <v>0</v>
      </c>
      <c r="R78" s="103">
        <f t="shared" si="25"/>
        <v>0</v>
      </c>
      <c r="S78" s="103">
        <f t="shared" si="25"/>
        <v>0</v>
      </c>
      <c r="T78" s="103">
        <f t="shared" si="25"/>
        <v>0</v>
      </c>
      <c r="U78" s="103">
        <f t="shared" si="25"/>
        <v>0</v>
      </c>
      <c r="V78" s="103">
        <f t="shared" si="25"/>
        <v>0</v>
      </c>
      <c r="W78" s="103">
        <f t="shared" si="25"/>
        <v>0</v>
      </c>
      <c r="X78" s="103">
        <f t="shared" si="25"/>
        <v>0</v>
      </c>
      <c r="Y78" s="103">
        <f t="shared" si="25"/>
        <v>0</v>
      </c>
      <c r="Z78" s="103">
        <f t="shared" si="25"/>
        <v>0</v>
      </c>
      <c r="AA78" s="103">
        <f t="shared" si="25"/>
        <v>0</v>
      </c>
      <c r="AB78" s="103">
        <f aca="true" t="shared" si="26" ref="AB78:AB85">SUM(G78:AA78)-O78</f>
        <v>0</v>
      </c>
      <c r="AC78" s="110"/>
      <c r="AD78" s="103"/>
      <c r="AE78" s="104">
        <f aca="true" t="shared" si="27" ref="AE78:AE87">SUM(AB78:AD78)</f>
        <v>0</v>
      </c>
      <c r="AF78" s="12"/>
      <c r="AG78" s="12"/>
      <c r="AH78" s="12"/>
      <c r="AI78" s="159"/>
      <c r="AJ78" s="159"/>
      <c r="AK78" s="127"/>
      <c r="AL78" s="127"/>
      <c r="AM78" s="127"/>
      <c r="AN78" s="100"/>
    </row>
    <row r="79" spans="1:42" s="39" customFormat="1" ht="62.25" customHeight="1">
      <c r="A79" s="76" t="s">
        <v>281</v>
      </c>
      <c r="B79" s="107"/>
      <c r="C79" s="107"/>
      <c r="D79" s="107"/>
      <c r="E79" s="108" t="s">
        <v>4</v>
      </c>
      <c r="F79" s="80">
        <f t="shared" si="2"/>
        <v>0</v>
      </c>
      <c r="G79" s="103"/>
      <c r="H79" s="110"/>
      <c r="I79" s="110"/>
      <c r="J79" s="110"/>
      <c r="K79" s="110"/>
      <c r="L79" s="110"/>
      <c r="M79" s="110"/>
      <c r="N79" s="110"/>
      <c r="O79" s="95">
        <f>SUM(P79:R79)</f>
        <v>0</v>
      </c>
      <c r="P79" s="110"/>
      <c r="Q79" s="110"/>
      <c r="R79" s="110"/>
      <c r="S79" s="110"/>
      <c r="T79" s="110"/>
      <c r="U79" s="110"/>
      <c r="V79" s="110"/>
      <c r="W79" s="110"/>
      <c r="X79" s="110"/>
      <c r="Y79" s="110"/>
      <c r="Z79" s="110">
        <v>1810</v>
      </c>
      <c r="AA79" s="103"/>
      <c r="AB79" s="103">
        <f t="shared" si="26"/>
        <v>1810</v>
      </c>
      <c r="AC79" s="110"/>
      <c r="AD79" s="103"/>
      <c r="AE79" s="104">
        <f t="shared" si="27"/>
        <v>1810</v>
      </c>
      <c r="AF79" s="123"/>
      <c r="AG79" s="12"/>
      <c r="AH79" s="12"/>
      <c r="AI79" s="127"/>
      <c r="AJ79" s="127"/>
      <c r="AK79" s="127"/>
      <c r="AL79" s="160"/>
      <c r="AM79" s="161"/>
      <c r="AN79" s="100"/>
      <c r="AO79" s="162"/>
      <c r="AP79" s="162"/>
    </row>
    <row r="80" spans="1:40" s="39" customFormat="1" ht="45.75" customHeight="1">
      <c r="A80" s="76" t="s">
        <v>315</v>
      </c>
      <c r="B80" s="140"/>
      <c r="C80" s="140"/>
      <c r="D80" s="140"/>
      <c r="E80" s="108" t="s">
        <v>722</v>
      </c>
      <c r="F80" s="80">
        <f t="shared" si="2"/>
        <v>0</v>
      </c>
      <c r="G80" s="103"/>
      <c r="H80" s="110"/>
      <c r="I80" s="110"/>
      <c r="J80" s="110"/>
      <c r="K80" s="110"/>
      <c r="L80" s="110"/>
      <c r="M80" s="110"/>
      <c r="N80" s="110"/>
      <c r="O80" s="95"/>
      <c r="P80" s="110"/>
      <c r="Q80" s="110"/>
      <c r="R80" s="110"/>
      <c r="S80" s="110"/>
      <c r="T80" s="110"/>
      <c r="U80" s="110"/>
      <c r="V80" s="110"/>
      <c r="W80" s="110"/>
      <c r="X80" s="110"/>
      <c r="Y80" s="110"/>
      <c r="Z80" s="110">
        <v>-1810</v>
      </c>
      <c r="AA80" s="103"/>
      <c r="AB80" s="103">
        <f t="shared" si="26"/>
        <v>-1810</v>
      </c>
      <c r="AC80" s="110"/>
      <c r="AD80" s="103"/>
      <c r="AE80" s="104">
        <f t="shared" si="27"/>
        <v>-1810</v>
      </c>
      <c r="AF80" s="123"/>
      <c r="AG80" s="12"/>
      <c r="AH80" s="12"/>
      <c r="AI80" s="127"/>
      <c r="AJ80" s="127"/>
      <c r="AK80" s="127"/>
      <c r="AL80" s="127"/>
      <c r="AM80" s="127"/>
      <c r="AN80" s="100"/>
    </row>
    <row r="81" spans="1:40" s="39" customFormat="1" ht="47.25" customHeight="1" hidden="1">
      <c r="A81" s="76"/>
      <c r="B81" s="76" t="s">
        <v>546</v>
      </c>
      <c r="C81" s="76" t="s">
        <v>547</v>
      </c>
      <c r="D81" s="76" t="s">
        <v>288</v>
      </c>
      <c r="E81" s="163" t="s">
        <v>548</v>
      </c>
      <c r="F81" s="80">
        <f t="shared" si="2"/>
        <v>0</v>
      </c>
      <c r="G81" s="103">
        <f>SUM(G82:G85)</f>
        <v>0</v>
      </c>
      <c r="H81" s="103">
        <f aca="true" t="shared" si="28" ref="H81:AA81">SUM(H82:H85)</f>
        <v>0</v>
      </c>
      <c r="I81" s="103">
        <f t="shared" si="28"/>
        <v>0</v>
      </c>
      <c r="J81" s="103">
        <f t="shared" si="28"/>
        <v>0</v>
      </c>
      <c r="K81" s="103">
        <f t="shared" si="28"/>
        <v>0</v>
      </c>
      <c r="L81" s="103">
        <f t="shared" si="28"/>
        <v>0</v>
      </c>
      <c r="M81" s="103">
        <f t="shared" si="28"/>
        <v>0</v>
      </c>
      <c r="N81" s="103">
        <f t="shared" si="28"/>
        <v>0</v>
      </c>
      <c r="O81" s="80">
        <f t="shared" si="28"/>
        <v>0</v>
      </c>
      <c r="P81" s="103">
        <f t="shared" si="28"/>
        <v>0</v>
      </c>
      <c r="Q81" s="103">
        <f t="shared" si="28"/>
        <v>0</v>
      </c>
      <c r="R81" s="103">
        <f t="shared" si="28"/>
        <v>0</v>
      </c>
      <c r="S81" s="103">
        <f t="shared" si="28"/>
        <v>0</v>
      </c>
      <c r="T81" s="103">
        <f t="shared" si="28"/>
        <v>0</v>
      </c>
      <c r="U81" s="103">
        <f t="shared" si="28"/>
        <v>0</v>
      </c>
      <c r="V81" s="103">
        <f t="shared" si="28"/>
        <v>0</v>
      </c>
      <c r="W81" s="103">
        <f t="shared" si="28"/>
        <v>0</v>
      </c>
      <c r="X81" s="103">
        <f t="shared" si="28"/>
        <v>0</v>
      </c>
      <c r="Y81" s="103">
        <f t="shared" si="28"/>
        <v>0</v>
      </c>
      <c r="Z81" s="103">
        <f t="shared" si="28"/>
        <v>0</v>
      </c>
      <c r="AA81" s="103">
        <f t="shared" si="28"/>
        <v>0</v>
      </c>
      <c r="AB81" s="103">
        <f t="shared" si="26"/>
        <v>0</v>
      </c>
      <c r="AC81" s="110"/>
      <c r="AD81" s="103"/>
      <c r="AE81" s="104">
        <f t="shared" si="27"/>
        <v>0</v>
      </c>
      <c r="AF81" s="12"/>
      <c r="AG81" s="12"/>
      <c r="AH81" s="12"/>
      <c r="AI81" s="127"/>
      <c r="AJ81" s="127"/>
      <c r="AK81" s="127"/>
      <c r="AL81" s="127"/>
      <c r="AM81" s="127"/>
      <c r="AN81" s="100"/>
    </row>
    <row r="82" spans="1:40" s="39" customFormat="1" ht="54.75" customHeight="1" hidden="1">
      <c r="A82" s="76"/>
      <c r="B82" s="140"/>
      <c r="C82" s="140"/>
      <c r="D82" s="140"/>
      <c r="E82" s="164" t="s">
        <v>549</v>
      </c>
      <c r="F82" s="80">
        <f t="shared" si="2"/>
        <v>0</v>
      </c>
      <c r="G82" s="103"/>
      <c r="H82" s="110"/>
      <c r="I82" s="110"/>
      <c r="J82" s="110"/>
      <c r="K82" s="110"/>
      <c r="L82" s="110"/>
      <c r="M82" s="110"/>
      <c r="N82" s="110"/>
      <c r="O82" s="95"/>
      <c r="P82" s="110"/>
      <c r="Q82" s="110"/>
      <c r="R82" s="110"/>
      <c r="S82" s="110"/>
      <c r="T82" s="110"/>
      <c r="U82" s="110"/>
      <c r="V82" s="110"/>
      <c r="W82" s="110"/>
      <c r="X82" s="110"/>
      <c r="Y82" s="110"/>
      <c r="Z82" s="110"/>
      <c r="AA82" s="103"/>
      <c r="AB82" s="103">
        <f t="shared" si="26"/>
        <v>0</v>
      </c>
      <c r="AC82" s="110"/>
      <c r="AD82" s="103"/>
      <c r="AE82" s="104">
        <f t="shared" si="27"/>
        <v>0</v>
      </c>
      <c r="AF82" s="12"/>
      <c r="AG82" s="12"/>
      <c r="AH82" s="12"/>
      <c r="AI82" s="127"/>
      <c r="AJ82" s="127"/>
      <c r="AK82" s="127"/>
      <c r="AL82" s="127"/>
      <c r="AM82" s="127"/>
      <c r="AN82" s="100"/>
    </row>
    <row r="83" spans="1:40" s="39" customFormat="1" ht="81.75" customHeight="1" hidden="1">
      <c r="A83" s="76"/>
      <c r="B83" s="140"/>
      <c r="C83" s="140"/>
      <c r="D83" s="140"/>
      <c r="E83" s="164" t="s">
        <v>723</v>
      </c>
      <c r="F83" s="80">
        <f t="shared" si="2"/>
        <v>0</v>
      </c>
      <c r="G83" s="103"/>
      <c r="H83" s="110"/>
      <c r="I83" s="110"/>
      <c r="J83" s="110"/>
      <c r="K83" s="110"/>
      <c r="L83" s="110"/>
      <c r="M83" s="110"/>
      <c r="N83" s="110"/>
      <c r="O83" s="95"/>
      <c r="P83" s="110"/>
      <c r="Q83" s="110"/>
      <c r="R83" s="110"/>
      <c r="S83" s="110"/>
      <c r="T83" s="110"/>
      <c r="U83" s="110"/>
      <c r="V83" s="110"/>
      <c r="W83" s="110"/>
      <c r="X83" s="110"/>
      <c r="Y83" s="110"/>
      <c r="Z83" s="110"/>
      <c r="AA83" s="103"/>
      <c r="AB83" s="103">
        <f>SUM(G83:AA83)-O83</f>
        <v>0</v>
      </c>
      <c r="AC83" s="110"/>
      <c r="AD83" s="103"/>
      <c r="AE83" s="104">
        <f t="shared" si="27"/>
        <v>0</v>
      </c>
      <c r="AF83" s="138"/>
      <c r="AG83" s="138"/>
      <c r="AH83" s="138"/>
      <c r="AI83" s="127"/>
      <c r="AJ83" s="127"/>
      <c r="AK83" s="127"/>
      <c r="AL83" s="127"/>
      <c r="AM83" s="127"/>
      <c r="AN83" s="100"/>
    </row>
    <row r="84" spans="1:40" s="39" customFormat="1" ht="81.75" customHeight="1" hidden="1">
      <c r="A84" s="76"/>
      <c r="B84" s="140"/>
      <c r="C84" s="140"/>
      <c r="D84" s="140"/>
      <c r="E84" s="164" t="s">
        <v>227</v>
      </c>
      <c r="F84" s="80"/>
      <c r="G84" s="103"/>
      <c r="H84" s="110"/>
      <c r="I84" s="110"/>
      <c r="J84" s="110"/>
      <c r="K84" s="110"/>
      <c r="L84" s="110"/>
      <c r="M84" s="110"/>
      <c r="N84" s="110"/>
      <c r="O84" s="95"/>
      <c r="P84" s="110"/>
      <c r="Q84" s="110"/>
      <c r="R84" s="110"/>
      <c r="S84" s="110"/>
      <c r="T84" s="110"/>
      <c r="U84" s="110"/>
      <c r="V84" s="110"/>
      <c r="W84" s="110"/>
      <c r="X84" s="110"/>
      <c r="Y84" s="110"/>
      <c r="Z84" s="110"/>
      <c r="AA84" s="103"/>
      <c r="AB84" s="103">
        <f>SUM(G84:AA84)-O84</f>
        <v>0</v>
      </c>
      <c r="AC84" s="110"/>
      <c r="AD84" s="103"/>
      <c r="AE84" s="104">
        <f>SUM(AB84:AD84)</f>
        <v>0</v>
      </c>
      <c r="AF84" s="138"/>
      <c r="AG84" s="138"/>
      <c r="AH84" s="138"/>
      <c r="AI84" s="127"/>
      <c r="AJ84" s="127"/>
      <c r="AK84" s="127"/>
      <c r="AL84" s="127"/>
      <c r="AM84" s="127"/>
      <c r="AN84" s="100"/>
    </row>
    <row r="85" spans="1:40" s="39" customFormat="1" ht="42.75" customHeight="1" hidden="1">
      <c r="A85" s="76"/>
      <c r="B85" s="140"/>
      <c r="C85" s="140"/>
      <c r="D85" s="140"/>
      <c r="E85" s="164" t="s">
        <v>566</v>
      </c>
      <c r="F85" s="80">
        <f t="shared" si="2"/>
        <v>0</v>
      </c>
      <c r="G85" s="103"/>
      <c r="H85" s="110"/>
      <c r="I85" s="110"/>
      <c r="J85" s="110"/>
      <c r="K85" s="110"/>
      <c r="L85" s="110"/>
      <c r="M85" s="110"/>
      <c r="N85" s="110"/>
      <c r="O85" s="95"/>
      <c r="P85" s="110"/>
      <c r="Q85" s="110"/>
      <c r="R85" s="110"/>
      <c r="S85" s="110"/>
      <c r="T85" s="110"/>
      <c r="U85" s="110"/>
      <c r="V85" s="110"/>
      <c r="W85" s="110"/>
      <c r="X85" s="110"/>
      <c r="Y85" s="110"/>
      <c r="Z85" s="110"/>
      <c r="AA85" s="103"/>
      <c r="AB85" s="103">
        <f t="shared" si="26"/>
        <v>0</v>
      </c>
      <c r="AC85" s="110"/>
      <c r="AD85" s="103"/>
      <c r="AE85" s="104">
        <f t="shared" si="27"/>
        <v>0</v>
      </c>
      <c r="AF85" s="138"/>
      <c r="AG85" s="138"/>
      <c r="AH85" s="138"/>
      <c r="AI85" s="127"/>
      <c r="AJ85" s="127"/>
      <c r="AK85" s="127"/>
      <c r="AL85" s="127"/>
      <c r="AM85" s="127"/>
      <c r="AN85" s="100"/>
    </row>
    <row r="86" spans="1:40" s="39" customFormat="1" ht="36" customHeight="1" hidden="1">
      <c r="A86" s="76"/>
      <c r="B86" s="76" t="s">
        <v>502</v>
      </c>
      <c r="C86" s="76" t="s">
        <v>494</v>
      </c>
      <c r="D86" s="76" t="s">
        <v>263</v>
      </c>
      <c r="E86" s="165" t="s">
        <v>503</v>
      </c>
      <c r="F86" s="80">
        <f t="shared" si="2"/>
        <v>0</v>
      </c>
      <c r="G86" s="103">
        <f>G87</f>
        <v>0</v>
      </c>
      <c r="H86" s="103">
        <f aca="true" t="shared" si="29" ref="H86:Z86">H87</f>
        <v>0</v>
      </c>
      <c r="I86" s="103">
        <f t="shared" si="29"/>
        <v>0</v>
      </c>
      <c r="J86" s="103">
        <f t="shared" si="29"/>
        <v>0</v>
      </c>
      <c r="K86" s="103">
        <f t="shared" si="29"/>
        <v>0</v>
      </c>
      <c r="L86" s="103">
        <f t="shared" si="29"/>
        <v>0</v>
      </c>
      <c r="M86" s="103">
        <f t="shared" si="29"/>
        <v>0</v>
      </c>
      <c r="N86" s="103">
        <f t="shared" si="29"/>
        <v>0</v>
      </c>
      <c r="O86" s="80">
        <f t="shared" si="29"/>
        <v>0</v>
      </c>
      <c r="P86" s="103">
        <f t="shared" si="29"/>
        <v>0</v>
      </c>
      <c r="Q86" s="103">
        <f t="shared" si="29"/>
        <v>0</v>
      </c>
      <c r="R86" s="103">
        <f t="shared" si="29"/>
        <v>0</v>
      </c>
      <c r="S86" s="103">
        <f t="shared" si="29"/>
        <v>0</v>
      </c>
      <c r="T86" s="103">
        <f t="shared" si="29"/>
        <v>0</v>
      </c>
      <c r="U86" s="103">
        <f t="shared" si="29"/>
        <v>0</v>
      </c>
      <c r="V86" s="103">
        <f t="shared" si="29"/>
        <v>0</v>
      </c>
      <c r="W86" s="103">
        <f t="shared" si="29"/>
        <v>0</v>
      </c>
      <c r="X86" s="103">
        <f t="shared" si="29"/>
        <v>0</v>
      </c>
      <c r="Y86" s="103">
        <f t="shared" si="29"/>
        <v>0</v>
      </c>
      <c r="Z86" s="103">
        <f t="shared" si="29"/>
        <v>0</v>
      </c>
      <c r="AA86" s="103">
        <f>AA87</f>
        <v>0</v>
      </c>
      <c r="AB86" s="103">
        <f>AB87</f>
        <v>0</v>
      </c>
      <c r="AC86" s="110">
        <f>AC87</f>
        <v>0</v>
      </c>
      <c r="AD86" s="103"/>
      <c r="AE86" s="104">
        <f t="shared" si="27"/>
        <v>0</v>
      </c>
      <c r="AF86" s="123"/>
      <c r="AG86" s="123"/>
      <c r="AH86" s="123"/>
      <c r="AI86" s="127"/>
      <c r="AJ86" s="127"/>
      <c r="AK86" s="127"/>
      <c r="AL86" s="127"/>
      <c r="AM86" s="127"/>
      <c r="AN86" s="100"/>
    </row>
    <row r="87" spans="1:40" s="39" customFormat="1" ht="120" customHeight="1" hidden="1">
      <c r="A87" s="76"/>
      <c r="B87" s="140"/>
      <c r="C87" s="140"/>
      <c r="D87" s="140"/>
      <c r="E87" s="108" t="s">
        <v>724</v>
      </c>
      <c r="F87" s="80">
        <f t="shared" si="2"/>
        <v>0</v>
      </c>
      <c r="G87" s="103"/>
      <c r="H87" s="110"/>
      <c r="I87" s="110"/>
      <c r="J87" s="110"/>
      <c r="K87" s="110"/>
      <c r="L87" s="110"/>
      <c r="M87" s="110"/>
      <c r="N87" s="110"/>
      <c r="O87" s="95"/>
      <c r="P87" s="110"/>
      <c r="Q87" s="110"/>
      <c r="R87" s="110"/>
      <c r="S87" s="110"/>
      <c r="T87" s="110"/>
      <c r="U87" s="110"/>
      <c r="V87" s="110"/>
      <c r="W87" s="110"/>
      <c r="X87" s="110"/>
      <c r="Y87" s="110"/>
      <c r="Z87" s="110"/>
      <c r="AA87" s="103"/>
      <c r="AB87" s="103">
        <f>SUM(G87:AA87)-O87</f>
        <v>0</v>
      </c>
      <c r="AC87" s="110"/>
      <c r="AD87" s="103"/>
      <c r="AE87" s="104">
        <f t="shared" si="27"/>
        <v>0</v>
      </c>
      <c r="AF87" s="123"/>
      <c r="AG87" s="123"/>
      <c r="AH87" s="123"/>
      <c r="AI87" s="127"/>
      <c r="AJ87" s="127"/>
      <c r="AK87" s="127"/>
      <c r="AL87" s="127"/>
      <c r="AM87" s="127"/>
      <c r="AN87" s="100"/>
    </row>
    <row r="88" spans="1:40" s="39" customFormat="1" ht="39" customHeight="1">
      <c r="A88" s="76"/>
      <c r="B88" s="101"/>
      <c r="C88" s="101"/>
      <c r="D88" s="101"/>
      <c r="E88" s="166" t="s">
        <v>369</v>
      </c>
      <c r="F88" s="80">
        <f t="shared" si="2"/>
        <v>0</v>
      </c>
      <c r="G88" s="167">
        <f aca="true" t="shared" si="30" ref="G88:AE88">G37+G40+G47+G64+G68+G71+G86+G78+G81</f>
        <v>0</v>
      </c>
      <c r="H88" s="167">
        <f t="shared" si="30"/>
        <v>0</v>
      </c>
      <c r="I88" s="167">
        <f t="shared" si="30"/>
        <v>1171694.3599999999</v>
      </c>
      <c r="J88" s="167">
        <f t="shared" si="30"/>
        <v>0</v>
      </c>
      <c r="K88" s="167">
        <f t="shared" si="30"/>
        <v>-1914375</v>
      </c>
      <c r="L88" s="167">
        <f t="shared" si="30"/>
        <v>-339997.36</v>
      </c>
      <c r="M88" s="167">
        <f t="shared" si="30"/>
        <v>-211000</v>
      </c>
      <c r="N88" s="167">
        <f t="shared" si="30"/>
        <v>0</v>
      </c>
      <c r="O88" s="84">
        <f t="shared" si="30"/>
        <v>0</v>
      </c>
      <c r="P88" s="104">
        <f t="shared" si="30"/>
        <v>0</v>
      </c>
      <c r="Q88" s="104">
        <f t="shared" si="30"/>
        <v>0</v>
      </c>
      <c r="R88" s="104">
        <f t="shared" si="30"/>
        <v>0</v>
      </c>
      <c r="S88" s="167">
        <f t="shared" si="30"/>
        <v>0</v>
      </c>
      <c r="T88" s="167">
        <f t="shared" si="30"/>
        <v>0</v>
      </c>
      <c r="U88" s="167">
        <f t="shared" si="30"/>
        <v>-630</v>
      </c>
      <c r="V88" s="167">
        <f t="shared" si="30"/>
        <v>0</v>
      </c>
      <c r="W88" s="167">
        <f t="shared" si="30"/>
        <v>0</v>
      </c>
      <c r="X88" s="167">
        <f t="shared" si="30"/>
        <v>0</v>
      </c>
      <c r="Y88" s="167">
        <f t="shared" si="30"/>
        <v>0</v>
      </c>
      <c r="Z88" s="167">
        <f t="shared" si="30"/>
        <v>0</v>
      </c>
      <c r="AA88" s="167">
        <f t="shared" si="30"/>
        <v>630</v>
      </c>
      <c r="AB88" s="167">
        <f t="shared" si="30"/>
        <v>-1293678</v>
      </c>
      <c r="AC88" s="168">
        <f t="shared" si="30"/>
        <v>0</v>
      </c>
      <c r="AD88" s="167">
        <f t="shared" si="30"/>
        <v>0</v>
      </c>
      <c r="AE88" s="104">
        <f t="shared" si="30"/>
        <v>-1293678</v>
      </c>
      <c r="AF88" s="169"/>
      <c r="AG88" s="169"/>
      <c r="AH88" s="169"/>
      <c r="AI88" s="170"/>
      <c r="AJ88" s="170"/>
      <c r="AK88" s="127"/>
      <c r="AL88" s="127"/>
      <c r="AM88" s="127"/>
      <c r="AN88" s="171"/>
    </row>
    <row r="89" spans="1:40" s="39" customFormat="1" ht="58.5" customHeight="1" hidden="1">
      <c r="A89" s="136"/>
      <c r="B89" s="77" t="s">
        <v>370</v>
      </c>
      <c r="C89" s="77"/>
      <c r="D89" s="77"/>
      <c r="E89" s="134" t="s">
        <v>725</v>
      </c>
      <c r="F89" s="80">
        <f t="shared" si="2"/>
        <v>0</v>
      </c>
      <c r="G89" s="103"/>
      <c r="H89" s="110"/>
      <c r="I89" s="110"/>
      <c r="J89" s="110"/>
      <c r="K89" s="110"/>
      <c r="L89" s="110"/>
      <c r="M89" s="110"/>
      <c r="N89" s="110"/>
      <c r="O89" s="95"/>
      <c r="P89" s="110"/>
      <c r="Q89" s="110"/>
      <c r="R89" s="110"/>
      <c r="S89" s="110"/>
      <c r="T89" s="110"/>
      <c r="U89" s="110"/>
      <c r="V89" s="110"/>
      <c r="W89" s="110"/>
      <c r="X89" s="110"/>
      <c r="Y89" s="110"/>
      <c r="Z89" s="110"/>
      <c r="AA89" s="103"/>
      <c r="AB89" s="103"/>
      <c r="AC89" s="103"/>
      <c r="AD89" s="103"/>
      <c r="AE89" s="104"/>
      <c r="AF89" s="12"/>
      <c r="AG89" s="12"/>
      <c r="AH89" s="12"/>
      <c r="AN89" s="100"/>
    </row>
    <row r="90" spans="1:34" s="39" customFormat="1" ht="81" customHeight="1" hidden="1">
      <c r="A90" s="136"/>
      <c r="B90" s="93" t="s">
        <v>371</v>
      </c>
      <c r="C90" s="77"/>
      <c r="D90" s="77"/>
      <c r="E90" s="134" t="s">
        <v>726</v>
      </c>
      <c r="F90" s="80">
        <f t="shared" si="2"/>
        <v>0</v>
      </c>
      <c r="G90" s="103"/>
      <c r="H90" s="110"/>
      <c r="I90" s="110"/>
      <c r="J90" s="110"/>
      <c r="K90" s="110"/>
      <c r="L90" s="110"/>
      <c r="M90" s="110"/>
      <c r="N90" s="110"/>
      <c r="O90" s="95"/>
      <c r="P90" s="110"/>
      <c r="Q90" s="110"/>
      <c r="R90" s="110"/>
      <c r="S90" s="110"/>
      <c r="T90" s="110"/>
      <c r="U90" s="110"/>
      <c r="V90" s="110"/>
      <c r="W90" s="110"/>
      <c r="X90" s="110"/>
      <c r="Y90" s="110"/>
      <c r="Z90" s="110"/>
      <c r="AA90" s="103"/>
      <c r="AB90" s="103"/>
      <c r="AC90" s="103"/>
      <c r="AD90" s="103"/>
      <c r="AE90" s="104"/>
      <c r="AF90" s="12"/>
      <c r="AG90" s="12"/>
      <c r="AH90" s="12"/>
    </row>
    <row r="91" spans="1:34" s="39" customFormat="1" ht="45" customHeight="1" hidden="1">
      <c r="A91" s="76"/>
      <c r="B91" s="101" t="s">
        <v>372</v>
      </c>
      <c r="C91" s="101" t="s">
        <v>373</v>
      </c>
      <c r="D91" s="101"/>
      <c r="E91" s="102" t="s">
        <v>374</v>
      </c>
      <c r="F91" s="80">
        <f t="shared" si="2"/>
        <v>0</v>
      </c>
      <c r="G91" s="103">
        <f>SUM(G92:G93)</f>
        <v>0</v>
      </c>
      <c r="H91" s="110">
        <f aca="true" t="shared" si="31" ref="H91:AD91">SUM(H92:H93)</f>
        <v>0</v>
      </c>
      <c r="I91" s="110">
        <f t="shared" si="31"/>
        <v>0</v>
      </c>
      <c r="J91" s="110">
        <f t="shared" si="31"/>
        <v>0</v>
      </c>
      <c r="K91" s="110">
        <f t="shared" si="31"/>
        <v>0</v>
      </c>
      <c r="L91" s="110">
        <f t="shared" si="31"/>
        <v>0</v>
      </c>
      <c r="M91" s="110">
        <f t="shared" si="31"/>
        <v>0</v>
      </c>
      <c r="N91" s="110">
        <f t="shared" si="31"/>
        <v>0</v>
      </c>
      <c r="O91" s="95">
        <f>SUM(P91:R91)</f>
        <v>0</v>
      </c>
      <c r="P91" s="110">
        <f t="shared" si="31"/>
        <v>0</v>
      </c>
      <c r="Q91" s="110">
        <f t="shared" si="31"/>
        <v>0</v>
      </c>
      <c r="R91" s="110">
        <f t="shared" si="31"/>
        <v>0</v>
      </c>
      <c r="S91" s="110">
        <f t="shared" si="31"/>
        <v>0</v>
      </c>
      <c r="T91" s="110">
        <f t="shared" si="31"/>
        <v>0</v>
      </c>
      <c r="U91" s="110">
        <f t="shared" si="31"/>
        <v>0</v>
      </c>
      <c r="V91" s="110">
        <f t="shared" si="31"/>
        <v>0</v>
      </c>
      <c r="W91" s="110">
        <f t="shared" si="31"/>
        <v>0</v>
      </c>
      <c r="X91" s="110">
        <f t="shared" si="31"/>
        <v>0</v>
      </c>
      <c r="Y91" s="110">
        <f t="shared" si="31"/>
        <v>0</v>
      </c>
      <c r="Z91" s="110">
        <f t="shared" si="31"/>
        <v>0</v>
      </c>
      <c r="AA91" s="103">
        <f t="shared" si="31"/>
        <v>0</v>
      </c>
      <c r="AB91" s="103">
        <f>SUM(G91:AA91)-O91</f>
        <v>0</v>
      </c>
      <c r="AC91" s="103">
        <f t="shared" si="31"/>
        <v>0</v>
      </c>
      <c r="AD91" s="103">
        <f t="shared" si="31"/>
        <v>0</v>
      </c>
      <c r="AE91" s="104">
        <f>SUM(AB91:AD91)</f>
        <v>0</v>
      </c>
      <c r="AF91" s="12"/>
      <c r="AG91" s="12"/>
      <c r="AH91" s="12"/>
    </row>
    <row r="92" spans="1:34" s="39" customFormat="1" ht="45" customHeight="1" hidden="1">
      <c r="A92" s="140" t="s">
        <v>300</v>
      </c>
      <c r="B92" s="107" t="s">
        <v>375</v>
      </c>
      <c r="C92" s="107" t="s">
        <v>376</v>
      </c>
      <c r="D92" s="107" t="s">
        <v>275</v>
      </c>
      <c r="E92" s="1" t="s">
        <v>377</v>
      </c>
      <c r="F92" s="80">
        <f t="shared" si="2"/>
        <v>0</v>
      </c>
      <c r="G92" s="172"/>
      <c r="H92" s="173"/>
      <c r="I92" s="173"/>
      <c r="J92" s="173"/>
      <c r="K92" s="173"/>
      <c r="L92" s="173"/>
      <c r="M92" s="173"/>
      <c r="N92" s="173"/>
      <c r="O92" s="174">
        <f>SUM(P92:R92)</f>
        <v>0</v>
      </c>
      <c r="P92" s="173"/>
      <c r="Q92" s="173"/>
      <c r="R92" s="173"/>
      <c r="S92" s="110"/>
      <c r="T92" s="110"/>
      <c r="U92" s="110"/>
      <c r="V92" s="110"/>
      <c r="W92" s="110"/>
      <c r="X92" s="110"/>
      <c r="Y92" s="110"/>
      <c r="Z92" s="110"/>
      <c r="AA92" s="103"/>
      <c r="AB92" s="175">
        <f>SUM(G92:AA92)-O92</f>
        <v>0</v>
      </c>
      <c r="AC92" s="103"/>
      <c r="AD92" s="103"/>
      <c r="AE92" s="104">
        <f>SUM(AB92:AD92)</f>
        <v>0</v>
      </c>
      <c r="AF92" s="12"/>
      <c r="AG92" s="12"/>
      <c r="AH92" s="12"/>
    </row>
    <row r="93" spans="1:36" s="39" customFormat="1" ht="92.25" customHeight="1" hidden="1">
      <c r="A93" s="140" t="s">
        <v>251</v>
      </c>
      <c r="B93" s="107" t="s">
        <v>378</v>
      </c>
      <c r="C93" s="107" t="s">
        <v>379</v>
      </c>
      <c r="D93" s="107" t="s">
        <v>275</v>
      </c>
      <c r="E93" s="1" t="s">
        <v>380</v>
      </c>
      <c r="F93" s="80">
        <f t="shared" si="2"/>
        <v>0</v>
      </c>
      <c r="G93" s="103"/>
      <c r="H93" s="110"/>
      <c r="I93" s="110"/>
      <c r="J93" s="110"/>
      <c r="K93" s="110"/>
      <c r="L93" s="110"/>
      <c r="M93" s="110"/>
      <c r="N93" s="110"/>
      <c r="O93" s="95">
        <f>SUM(P93:R93)</f>
        <v>0</v>
      </c>
      <c r="P93" s="110"/>
      <c r="Q93" s="110"/>
      <c r="R93" s="110"/>
      <c r="S93" s="110"/>
      <c r="T93" s="110"/>
      <c r="U93" s="110"/>
      <c r="V93" s="110"/>
      <c r="W93" s="110"/>
      <c r="X93" s="110"/>
      <c r="Y93" s="110"/>
      <c r="Z93" s="110"/>
      <c r="AA93" s="103"/>
      <c r="AB93" s="103">
        <f>SUM(G93:AA93)-O93</f>
        <v>0</v>
      </c>
      <c r="AC93" s="103"/>
      <c r="AD93" s="103"/>
      <c r="AE93" s="104">
        <f>SUM(AB93:AD93)</f>
        <v>0</v>
      </c>
      <c r="AF93" s="176"/>
      <c r="AG93" s="176"/>
      <c r="AH93" s="176"/>
      <c r="AI93" s="162"/>
      <c r="AJ93" s="162"/>
    </row>
    <row r="94" spans="1:34" s="39" customFormat="1" ht="36.75" customHeight="1" hidden="1">
      <c r="A94" s="76"/>
      <c r="B94" s="101"/>
      <c r="C94" s="101"/>
      <c r="D94" s="101"/>
      <c r="E94" s="166" t="s">
        <v>359</v>
      </c>
      <c r="F94" s="80">
        <f t="shared" si="2"/>
        <v>0</v>
      </c>
      <c r="G94" s="167">
        <f>G91</f>
        <v>0</v>
      </c>
      <c r="H94" s="168">
        <f aca="true" t="shared" si="32" ref="H94:AD94">H91</f>
        <v>0</v>
      </c>
      <c r="I94" s="168">
        <f t="shared" si="32"/>
        <v>0</v>
      </c>
      <c r="J94" s="168">
        <f t="shared" si="32"/>
        <v>0</v>
      </c>
      <c r="K94" s="168">
        <f t="shared" si="32"/>
        <v>0</v>
      </c>
      <c r="L94" s="168">
        <f t="shared" si="32"/>
        <v>0</v>
      </c>
      <c r="M94" s="168">
        <f t="shared" si="32"/>
        <v>0</v>
      </c>
      <c r="N94" s="168">
        <f t="shared" si="32"/>
        <v>0</v>
      </c>
      <c r="O94" s="95">
        <f>SUM(P94:R94)</f>
        <v>0</v>
      </c>
      <c r="P94" s="168">
        <f t="shared" si="32"/>
        <v>0</v>
      </c>
      <c r="Q94" s="168">
        <f t="shared" si="32"/>
        <v>0</v>
      </c>
      <c r="R94" s="168">
        <f t="shared" si="32"/>
        <v>0</v>
      </c>
      <c r="S94" s="168">
        <f t="shared" si="32"/>
        <v>0</v>
      </c>
      <c r="T94" s="168">
        <f t="shared" si="32"/>
        <v>0</v>
      </c>
      <c r="U94" s="168">
        <f t="shared" si="32"/>
        <v>0</v>
      </c>
      <c r="V94" s="168">
        <f t="shared" si="32"/>
        <v>0</v>
      </c>
      <c r="W94" s="168">
        <f t="shared" si="32"/>
        <v>0</v>
      </c>
      <c r="X94" s="168">
        <f t="shared" si="32"/>
        <v>0</v>
      </c>
      <c r="Y94" s="168">
        <f t="shared" si="32"/>
        <v>0</v>
      </c>
      <c r="Z94" s="168">
        <f t="shared" si="32"/>
        <v>0</v>
      </c>
      <c r="AA94" s="167">
        <f t="shared" si="32"/>
        <v>0</v>
      </c>
      <c r="AB94" s="177">
        <f>SUM(G94:AA94)-O94</f>
        <v>0</v>
      </c>
      <c r="AC94" s="167">
        <f t="shared" si="32"/>
        <v>0</v>
      </c>
      <c r="AD94" s="167">
        <f t="shared" si="32"/>
        <v>0</v>
      </c>
      <c r="AE94" s="104">
        <f>SUM(AB94:AD94)</f>
        <v>0</v>
      </c>
      <c r="AF94" s="12"/>
      <c r="AG94" s="12"/>
      <c r="AH94" s="12"/>
    </row>
    <row r="95" spans="1:34" s="39" customFormat="1" ht="50.25" customHeight="1">
      <c r="A95" s="136"/>
      <c r="B95" s="77" t="s">
        <v>6</v>
      </c>
      <c r="C95" s="77"/>
      <c r="D95" s="77"/>
      <c r="E95" s="78" t="s">
        <v>553</v>
      </c>
      <c r="F95" s="80">
        <f t="shared" si="2"/>
        <v>0</v>
      </c>
      <c r="G95" s="103"/>
      <c r="H95" s="110"/>
      <c r="I95" s="110"/>
      <c r="J95" s="110"/>
      <c r="K95" s="110"/>
      <c r="L95" s="110"/>
      <c r="M95" s="110"/>
      <c r="N95" s="110"/>
      <c r="O95" s="95"/>
      <c r="P95" s="110"/>
      <c r="Q95" s="110"/>
      <c r="R95" s="110"/>
      <c r="S95" s="110"/>
      <c r="T95" s="110"/>
      <c r="U95" s="110"/>
      <c r="V95" s="110"/>
      <c r="W95" s="110"/>
      <c r="X95" s="110"/>
      <c r="Y95" s="110"/>
      <c r="Z95" s="110"/>
      <c r="AA95" s="103"/>
      <c r="AB95" s="103"/>
      <c r="AC95" s="103"/>
      <c r="AD95" s="103"/>
      <c r="AE95" s="104"/>
      <c r="AF95" s="12"/>
      <c r="AG95" s="12"/>
      <c r="AH95" s="12"/>
    </row>
    <row r="96" spans="1:34" s="39" customFormat="1" ht="45" customHeight="1">
      <c r="A96" s="76"/>
      <c r="B96" s="93" t="s">
        <v>7</v>
      </c>
      <c r="C96" s="77"/>
      <c r="D96" s="77"/>
      <c r="E96" s="78" t="s">
        <v>727</v>
      </c>
      <c r="F96" s="80">
        <f t="shared" si="2"/>
        <v>0</v>
      </c>
      <c r="G96" s="103"/>
      <c r="H96" s="110"/>
      <c r="I96" s="110"/>
      <c r="J96" s="110"/>
      <c r="K96" s="110"/>
      <c r="L96" s="110"/>
      <c r="M96" s="110"/>
      <c r="N96" s="110"/>
      <c r="O96" s="95"/>
      <c r="P96" s="110"/>
      <c r="Q96" s="110"/>
      <c r="R96" s="110"/>
      <c r="S96" s="110"/>
      <c r="T96" s="110"/>
      <c r="U96" s="110"/>
      <c r="V96" s="110"/>
      <c r="W96" s="110"/>
      <c r="X96" s="110"/>
      <c r="Y96" s="110"/>
      <c r="Z96" s="110"/>
      <c r="AA96" s="103"/>
      <c r="AB96" s="103"/>
      <c r="AC96" s="103"/>
      <c r="AD96" s="103"/>
      <c r="AE96" s="104"/>
      <c r="AF96" s="12"/>
      <c r="AG96" s="12"/>
      <c r="AH96" s="12"/>
    </row>
    <row r="97" spans="1:34" s="39" customFormat="1" ht="69" customHeight="1">
      <c r="A97" s="76" t="s">
        <v>260</v>
      </c>
      <c r="B97" s="101" t="s">
        <v>8</v>
      </c>
      <c r="C97" s="101" t="s">
        <v>317</v>
      </c>
      <c r="D97" s="101" t="s">
        <v>261</v>
      </c>
      <c r="E97" s="116" t="s">
        <v>219</v>
      </c>
      <c r="F97" s="80">
        <f aca="true" t="shared" si="33" ref="F97:F167">SUM(G97:H97)</f>
        <v>329500</v>
      </c>
      <c r="G97" s="103">
        <f>G98</f>
        <v>261000</v>
      </c>
      <c r="H97" s="103">
        <f>H98</f>
        <v>68500</v>
      </c>
      <c r="I97" s="103">
        <f>I98+I99</f>
        <v>-24000</v>
      </c>
      <c r="J97" s="103">
        <f aca="true" t="shared" si="34" ref="J97:Z97">J98+J99</f>
        <v>0</v>
      </c>
      <c r="K97" s="103">
        <f t="shared" si="34"/>
        <v>0</v>
      </c>
      <c r="L97" s="103">
        <f t="shared" si="34"/>
        <v>49500</v>
      </c>
      <c r="M97" s="103">
        <f t="shared" si="34"/>
        <v>-8540</v>
      </c>
      <c r="N97" s="103">
        <f t="shared" si="34"/>
        <v>0</v>
      </c>
      <c r="O97" s="80">
        <f t="shared" si="34"/>
        <v>0</v>
      </c>
      <c r="P97" s="103">
        <f t="shared" si="34"/>
        <v>-23000</v>
      </c>
      <c r="Q97" s="103">
        <f t="shared" si="34"/>
        <v>-5600</v>
      </c>
      <c r="R97" s="103">
        <f t="shared" si="34"/>
        <v>-15000</v>
      </c>
      <c r="S97" s="103">
        <f t="shared" si="34"/>
        <v>-900</v>
      </c>
      <c r="T97" s="103">
        <f t="shared" si="34"/>
        <v>0</v>
      </c>
      <c r="U97" s="103">
        <f t="shared" si="34"/>
        <v>-11000</v>
      </c>
      <c r="V97" s="103">
        <f t="shared" si="34"/>
        <v>0</v>
      </c>
      <c r="W97" s="103">
        <f t="shared" si="34"/>
        <v>0</v>
      </c>
      <c r="X97" s="103">
        <f t="shared" si="34"/>
        <v>0</v>
      </c>
      <c r="Y97" s="103">
        <f t="shared" si="34"/>
        <v>0</v>
      </c>
      <c r="Z97" s="103">
        <f t="shared" si="34"/>
        <v>0</v>
      </c>
      <c r="AA97" s="103">
        <f>AA98</f>
        <v>-8000</v>
      </c>
      <c r="AB97" s="103">
        <f aca="true" t="shared" si="35" ref="AB97:AB150">SUM(G97:AA97)-O97</f>
        <v>282960</v>
      </c>
      <c r="AC97" s="103"/>
      <c r="AD97" s="103"/>
      <c r="AE97" s="104">
        <f aca="true" t="shared" si="36" ref="AE97:AE150">SUM(AB97:AD97)</f>
        <v>282960</v>
      </c>
      <c r="AF97" s="123"/>
      <c r="AG97" s="123"/>
      <c r="AH97" s="123"/>
    </row>
    <row r="98" spans="1:34" s="39" customFormat="1" ht="63" customHeight="1">
      <c r="A98" s="76" t="s">
        <v>310</v>
      </c>
      <c r="B98" s="107"/>
      <c r="C98" s="107"/>
      <c r="D98" s="107"/>
      <c r="E98" s="1" t="s">
        <v>442</v>
      </c>
      <c r="F98" s="80">
        <f t="shared" si="33"/>
        <v>329500</v>
      </c>
      <c r="G98" s="103">
        <v>261000</v>
      </c>
      <c r="H98" s="110">
        <f>24000+44500</f>
        <v>68500</v>
      </c>
      <c r="I98" s="110">
        <f>-24000+20000</f>
        <v>-4000</v>
      </c>
      <c r="J98" s="110"/>
      <c r="K98" s="110"/>
      <c r="L98" s="110">
        <v>49500</v>
      </c>
      <c r="M98" s="110">
        <f>-6500-2040</f>
        <v>-8540</v>
      </c>
      <c r="N98" s="110"/>
      <c r="O98" s="95"/>
      <c r="P98" s="110">
        <v>-23000</v>
      </c>
      <c r="Q98" s="110">
        <v>-5600</v>
      </c>
      <c r="R98" s="110">
        <v>-15000</v>
      </c>
      <c r="S98" s="110">
        <v>-900</v>
      </c>
      <c r="T98" s="110"/>
      <c r="U98" s="110">
        <v>-11000</v>
      </c>
      <c r="V98" s="110"/>
      <c r="W98" s="110"/>
      <c r="X98" s="110"/>
      <c r="Y98" s="110"/>
      <c r="Z98" s="110"/>
      <c r="AA98" s="103">
        <v>-8000</v>
      </c>
      <c r="AB98" s="103">
        <f>SUM(G98:AA98)-O98</f>
        <v>302960</v>
      </c>
      <c r="AC98" s="103"/>
      <c r="AD98" s="103"/>
      <c r="AE98" s="104">
        <f>SUM(AB98:AD98)</f>
        <v>302960</v>
      </c>
      <c r="AF98" s="138"/>
      <c r="AG98" s="12"/>
      <c r="AH98" s="12"/>
    </row>
    <row r="99" spans="1:34" s="39" customFormat="1" ht="81.75" customHeight="1">
      <c r="A99" s="76"/>
      <c r="B99" s="107"/>
      <c r="C99" s="107"/>
      <c r="D99" s="107"/>
      <c r="E99" s="1" t="s">
        <v>638</v>
      </c>
      <c r="F99" s="80"/>
      <c r="G99" s="103"/>
      <c r="H99" s="110"/>
      <c r="I99" s="110">
        <v>-20000</v>
      </c>
      <c r="J99" s="110"/>
      <c r="K99" s="110"/>
      <c r="L99" s="110"/>
      <c r="M99" s="110"/>
      <c r="N99" s="110"/>
      <c r="O99" s="95"/>
      <c r="P99" s="110"/>
      <c r="Q99" s="110"/>
      <c r="R99" s="110"/>
      <c r="S99" s="110"/>
      <c r="T99" s="110"/>
      <c r="U99" s="110"/>
      <c r="V99" s="110"/>
      <c r="W99" s="110"/>
      <c r="X99" s="110"/>
      <c r="Y99" s="110"/>
      <c r="Z99" s="110"/>
      <c r="AA99" s="103"/>
      <c r="AB99" s="103">
        <f>SUM(G99:AA99)-O99</f>
        <v>-20000</v>
      </c>
      <c r="AC99" s="103"/>
      <c r="AD99" s="103"/>
      <c r="AE99" s="104">
        <f>SUM(AB99:AD99)</f>
        <v>-20000</v>
      </c>
      <c r="AF99" s="138"/>
      <c r="AG99" s="138"/>
      <c r="AH99" s="138"/>
    </row>
    <row r="100" spans="1:34" s="39" customFormat="1" ht="45" customHeight="1">
      <c r="A100" s="76"/>
      <c r="B100" s="76" t="s">
        <v>9</v>
      </c>
      <c r="C100" s="76" t="s">
        <v>425</v>
      </c>
      <c r="D100" s="76" t="s">
        <v>426</v>
      </c>
      <c r="E100" s="178" t="s">
        <v>10</v>
      </c>
      <c r="F100" s="80">
        <f t="shared" si="33"/>
        <v>0</v>
      </c>
      <c r="G100" s="95">
        <f aca="true" t="shared" si="37" ref="G100:N100">SUM(G101:G106)</f>
        <v>0</v>
      </c>
      <c r="H100" s="95">
        <f t="shared" si="37"/>
        <v>0</v>
      </c>
      <c r="I100" s="179">
        <f t="shared" si="37"/>
        <v>0</v>
      </c>
      <c r="J100" s="179">
        <f t="shared" si="37"/>
        <v>0</v>
      </c>
      <c r="K100" s="179">
        <f t="shared" si="37"/>
        <v>0</v>
      </c>
      <c r="L100" s="179">
        <f t="shared" si="37"/>
        <v>0</v>
      </c>
      <c r="M100" s="179">
        <f t="shared" si="37"/>
        <v>0</v>
      </c>
      <c r="N100" s="179">
        <f t="shared" si="37"/>
        <v>0</v>
      </c>
      <c r="O100" s="95">
        <f>SUM(P100:R100)</f>
        <v>0</v>
      </c>
      <c r="P100" s="179">
        <f aca="true" t="shared" si="38" ref="P100:AA100">SUM(P101:P106)</f>
        <v>0</v>
      </c>
      <c r="Q100" s="179">
        <f t="shared" si="38"/>
        <v>0</v>
      </c>
      <c r="R100" s="179">
        <f t="shared" si="38"/>
        <v>0</v>
      </c>
      <c r="S100" s="179">
        <f t="shared" si="38"/>
        <v>0</v>
      </c>
      <c r="T100" s="95">
        <f t="shared" si="38"/>
        <v>0</v>
      </c>
      <c r="U100" s="109">
        <f t="shared" si="38"/>
        <v>0</v>
      </c>
      <c r="V100" s="110">
        <f t="shared" si="38"/>
        <v>1419629.4</v>
      </c>
      <c r="W100" s="179">
        <f t="shared" si="38"/>
        <v>0</v>
      </c>
      <c r="X100" s="179">
        <f t="shared" si="38"/>
        <v>0</v>
      </c>
      <c r="Y100" s="179">
        <f t="shared" si="38"/>
        <v>0</v>
      </c>
      <c r="Z100" s="179">
        <f t="shared" si="38"/>
        <v>0</v>
      </c>
      <c r="AA100" s="95">
        <f t="shared" si="38"/>
        <v>0</v>
      </c>
      <c r="AB100" s="32">
        <f t="shared" si="35"/>
        <v>1419629.4</v>
      </c>
      <c r="AC100" s="80"/>
      <c r="AD100" s="80">
        <f>SUM(AD101:AD107)</f>
        <v>0</v>
      </c>
      <c r="AE100" s="104">
        <f t="shared" si="36"/>
        <v>1419629.4</v>
      </c>
      <c r="AF100" s="180"/>
      <c r="AG100" s="180"/>
      <c r="AH100" s="180"/>
    </row>
    <row r="101" spans="1:34" s="39" customFormat="1" ht="24" customHeight="1" hidden="1">
      <c r="A101" s="76"/>
      <c r="B101" s="140"/>
      <c r="C101" s="140"/>
      <c r="D101" s="140"/>
      <c r="E101" s="181" t="s">
        <v>728</v>
      </c>
      <c r="F101" s="80">
        <f t="shared" si="33"/>
        <v>0</v>
      </c>
      <c r="G101" s="80"/>
      <c r="H101" s="95"/>
      <c r="I101" s="95"/>
      <c r="J101" s="95"/>
      <c r="K101" s="95"/>
      <c r="L101" s="95"/>
      <c r="M101" s="95"/>
      <c r="N101" s="95"/>
      <c r="O101" s="95">
        <f>SUM(P101:R101)</f>
        <v>0</v>
      </c>
      <c r="P101" s="95"/>
      <c r="Q101" s="95"/>
      <c r="R101" s="95"/>
      <c r="S101" s="95"/>
      <c r="T101" s="95"/>
      <c r="U101" s="109"/>
      <c r="V101" s="95"/>
      <c r="W101" s="95"/>
      <c r="X101" s="95"/>
      <c r="Y101" s="95"/>
      <c r="Z101" s="95"/>
      <c r="AA101" s="80"/>
      <c r="AB101" s="32">
        <f t="shared" si="35"/>
        <v>0</v>
      </c>
      <c r="AC101" s="182"/>
      <c r="AD101" s="182">
        <f>SUM(AD103:AD110)</f>
        <v>0</v>
      </c>
      <c r="AE101" s="104">
        <f t="shared" si="36"/>
        <v>0</v>
      </c>
      <c r="AF101" s="12"/>
      <c r="AG101" s="12"/>
      <c r="AH101" s="12"/>
    </row>
    <row r="102" spans="1:34" s="39" customFormat="1" ht="102" customHeight="1">
      <c r="A102" s="76"/>
      <c r="B102" s="140"/>
      <c r="C102" s="140"/>
      <c r="D102" s="140"/>
      <c r="E102" s="181" t="s">
        <v>698</v>
      </c>
      <c r="F102" s="80">
        <f t="shared" si="33"/>
        <v>0</v>
      </c>
      <c r="G102" s="80"/>
      <c r="H102" s="95"/>
      <c r="I102" s="95"/>
      <c r="J102" s="95"/>
      <c r="K102" s="95"/>
      <c r="L102" s="95"/>
      <c r="M102" s="95"/>
      <c r="N102" s="95"/>
      <c r="O102" s="95"/>
      <c r="P102" s="95"/>
      <c r="Q102" s="95"/>
      <c r="R102" s="95"/>
      <c r="S102" s="95"/>
      <c r="T102" s="95"/>
      <c r="U102" s="109"/>
      <c r="V102" s="110">
        <f>90000+3000-172850+1304884</f>
        <v>1225034</v>
      </c>
      <c r="W102" s="95"/>
      <c r="X102" s="95"/>
      <c r="Y102" s="95"/>
      <c r="Z102" s="95"/>
      <c r="AA102" s="80"/>
      <c r="AB102" s="32">
        <f t="shared" si="35"/>
        <v>1225034</v>
      </c>
      <c r="AC102" s="80"/>
      <c r="AD102" s="80">
        <f>SUM(AD104:AD113)</f>
        <v>0</v>
      </c>
      <c r="AE102" s="104">
        <f t="shared" si="36"/>
        <v>1225034</v>
      </c>
      <c r="AF102" s="138"/>
      <c r="AG102" s="138"/>
      <c r="AH102" s="138"/>
    </row>
    <row r="103" spans="1:34" s="39" customFormat="1" ht="69" customHeight="1">
      <c r="A103" s="76"/>
      <c r="B103" s="76"/>
      <c r="C103" s="76"/>
      <c r="D103" s="76"/>
      <c r="E103" s="181" t="s">
        <v>729</v>
      </c>
      <c r="F103" s="80">
        <f t="shared" si="33"/>
        <v>0</v>
      </c>
      <c r="G103" s="80"/>
      <c r="H103" s="95"/>
      <c r="I103" s="95"/>
      <c r="J103" s="95"/>
      <c r="K103" s="95"/>
      <c r="L103" s="95"/>
      <c r="M103" s="95"/>
      <c r="N103" s="95"/>
      <c r="O103" s="95">
        <f>SUM(P103:R103)</f>
        <v>0</v>
      </c>
      <c r="P103" s="95"/>
      <c r="Q103" s="95"/>
      <c r="R103" s="95"/>
      <c r="S103" s="95"/>
      <c r="T103" s="95"/>
      <c r="U103" s="109"/>
      <c r="V103" s="109">
        <v>194595.4</v>
      </c>
      <c r="W103" s="95"/>
      <c r="X103" s="95"/>
      <c r="Y103" s="95"/>
      <c r="Z103" s="95"/>
      <c r="AA103" s="80"/>
      <c r="AB103" s="32">
        <f t="shared" si="35"/>
        <v>194595.4</v>
      </c>
      <c r="AC103" s="80"/>
      <c r="AD103" s="80">
        <f>SUM(AD106:AD110)</f>
        <v>0</v>
      </c>
      <c r="AE103" s="104">
        <f t="shared" si="36"/>
        <v>194595.4</v>
      </c>
      <c r="AF103" s="138"/>
      <c r="AG103" s="12"/>
      <c r="AH103" s="12"/>
    </row>
    <row r="104" spans="1:34" s="39" customFormat="1" ht="102" customHeight="1" hidden="1">
      <c r="A104" s="76"/>
      <c r="B104" s="76"/>
      <c r="C104" s="76"/>
      <c r="D104" s="76"/>
      <c r="E104" s="181" t="s">
        <v>730</v>
      </c>
      <c r="F104" s="80">
        <f t="shared" si="33"/>
        <v>0</v>
      </c>
      <c r="G104" s="80"/>
      <c r="H104" s="95"/>
      <c r="I104" s="95"/>
      <c r="J104" s="95"/>
      <c r="K104" s="95"/>
      <c r="L104" s="95"/>
      <c r="M104" s="95"/>
      <c r="N104" s="95"/>
      <c r="O104" s="95">
        <f>SUM(P104:R104)</f>
        <v>0</v>
      </c>
      <c r="P104" s="95"/>
      <c r="Q104" s="95"/>
      <c r="R104" s="95"/>
      <c r="S104" s="95"/>
      <c r="T104" s="95"/>
      <c r="U104" s="95"/>
      <c r="V104" s="109"/>
      <c r="W104" s="95"/>
      <c r="X104" s="95"/>
      <c r="Y104" s="95"/>
      <c r="Z104" s="95"/>
      <c r="AA104" s="80"/>
      <c r="AB104" s="32">
        <f t="shared" si="35"/>
        <v>0</v>
      </c>
      <c r="AC104" s="32"/>
      <c r="AD104" s="32">
        <f>SUM(AD106:AD110)</f>
        <v>0</v>
      </c>
      <c r="AE104" s="104">
        <f t="shared" si="36"/>
        <v>0</v>
      </c>
      <c r="AF104" s="12"/>
      <c r="AG104" s="12"/>
      <c r="AH104" s="12"/>
    </row>
    <row r="105" spans="1:34" s="39" customFormat="1" ht="132" customHeight="1" hidden="1">
      <c r="A105" s="76"/>
      <c r="B105" s="76"/>
      <c r="C105" s="76"/>
      <c r="D105" s="76"/>
      <c r="E105" s="181" t="s">
        <v>625</v>
      </c>
      <c r="F105" s="80"/>
      <c r="G105" s="80"/>
      <c r="H105" s="95"/>
      <c r="I105" s="95"/>
      <c r="J105" s="95"/>
      <c r="K105" s="95"/>
      <c r="L105" s="95"/>
      <c r="M105" s="95"/>
      <c r="N105" s="95"/>
      <c r="O105" s="95"/>
      <c r="P105" s="95"/>
      <c r="Q105" s="95"/>
      <c r="R105" s="95"/>
      <c r="S105" s="95"/>
      <c r="T105" s="95"/>
      <c r="U105" s="95"/>
      <c r="V105" s="109"/>
      <c r="W105" s="95"/>
      <c r="X105" s="95"/>
      <c r="Y105" s="95"/>
      <c r="Z105" s="95"/>
      <c r="AA105" s="80"/>
      <c r="AB105" s="183">
        <f t="shared" si="35"/>
        <v>0</v>
      </c>
      <c r="AC105" s="183"/>
      <c r="AD105" s="183"/>
      <c r="AE105" s="104">
        <f t="shared" si="36"/>
        <v>0</v>
      </c>
      <c r="AF105" s="38"/>
      <c r="AG105" s="138"/>
      <c r="AH105" s="138"/>
    </row>
    <row r="106" spans="1:34" s="39" customFormat="1" ht="63" customHeight="1" hidden="1">
      <c r="A106" s="76"/>
      <c r="B106" s="76"/>
      <c r="C106" s="76"/>
      <c r="D106" s="76"/>
      <c r="E106" s="181" t="s">
        <v>209</v>
      </c>
      <c r="F106" s="80">
        <f t="shared" si="33"/>
        <v>0</v>
      </c>
      <c r="G106" s="80"/>
      <c r="H106" s="95"/>
      <c r="I106" s="95"/>
      <c r="J106" s="95"/>
      <c r="K106" s="95"/>
      <c r="L106" s="95"/>
      <c r="M106" s="95"/>
      <c r="N106" s="95"/>
      <c r="O106" s="95"/>
      <c r="P106" s="95"/>
      <c r="Q106" s="95"/>
      <c r="R106" s="95" t="s">
        <v>673</v>
      </c>
      <c r="S106" s="95"/>
      <c r="T106" s="95"/>
      <c r="U106" s="174"/>
      <c r="V106" s="184"/>
      <c r="W106" s="95"/>
      <c r="X106" s="95"/>
      <c r="Y106" s="95"/>
      <c r="Z106" s="95"/>
      <c r="AA106" s="80"/>
      <c r="AB106" s="32">
        <f t="shared" si="35"/>
        <v>0</v>
      </c>
      <c r="AC106" s="32"/>
      <c r="AD106" s="32">
        <f>SUM(AD107:AD110)</f>
        <v>0</v>
      </c>
      <c r="AE106" s="104">
        <f t="shared" si="36"/>
        <v>0</v>
      </c>
      <c r="AF106" s="12"/>
      <c r="AG106" s="12"/>
      <c r="AH106" s="12"/>
    </row>
    <row r="107" spans="1:34" s="189" customFormat="1" ht="63" customHeight="1">
      <c r="A107" s="185"/>
      <c r="B107" s="76" t="s">
        <v>14</v>
      </c>
      <c r="C107" s="76" t="s">
        <v>15</v>
      </c>
      <c r="D107" s="76" t="s">
        <v>16</v>
      </c>
      <c r="E107" s="186" t="s">
        <v>17</v>
      </c>
      <c r="F107" s="80">
        <f t="shared" si="33"/>
        <v>0</v>
      </c>
      <c r="G107" s="172">
        <f aca="true" t="shared" si="39" ref="G107:N107">SUM(G108:G110)</f>
        <v>0</v>
      </c>
      <c r="H107" s="172">
        <f t="shared" si="39"/>
        <v>0</v>
      </c>
      <c r="I107" s="172">
        <f t="shared" si="39"/>
        <v>0</v>
      </c>
      <c r="J107" s="172">
        <f t="shared" si="39"/>
        <v>0</v>
      </c>
      <c r="K107" s="172">
        <f t="shared" si="39"/>
        <v>0</v>
      </c>
      <c r="L107" s="172">
        <f t="shared" si="39"/>
        <v>0</v>
      </c>
      <c r="M107" s="172">
        <f t="shared" si="39"/>
        <v>0</v>
      </c>
      <c r="N107" s="172">
        <f t="shared" si="39"/>
        <v>0</v>
      </c>
      <c r="O107" s="174">
        <f>SUM(P107:R107)</f>
        <v>0</v>
      </c>
      <c r="P107" s="172">
        <f>SUM(P108:P110)</f>
        <v>0</v>
      </c>
      <c r="Q107" s="172">
        <f>SUM(Q108:Q110)</f>
        <v>0</v>
      </c>
      <c r="R107" s="172">
        <f>SUM(R108:R110)</f>
        <v>0</v>
      </c>
      <c r="S107" s="172">
        <f>SUM(S108:S110)</f>
        <v>0</v>
      </c>
      <c r="T107" s="172">
        <f>SUM(T108:T110)</f>
        <v>0</v>
      </c>
      <c r="U107" s="172">
        <f>SUM(U108:U113)</f>
        <v>0</v>
      </c>
      <c r="V107" s="172">
        <f>SUM(V108:V113)</f>
        <v>835500</v>
      </c>
      <c r="W107" s="172">
        <f>SUM(W108:W110)</f>
        <v>0</v>
      </c>
      <c r="X107" s="172">
        <f>SUM(X108:X110)</f>
        <v>0</v>
      </c>
      <c r="Y107" s="172">
        <f>SUM(Y108:Y110)</f>
        <v>0</v>
      </c>
      <c r="Z107" s="172">
        <f>SUM(Z108:Z110)</f>
        <v>0</v>
      </c>
      <c r="AA107" s="172">
        <f>SUM(AA108:AA110)</f>
        <v>0</v>
      </c>
      <c r="AB107" s="172">
        <f t="shared" si="35"/>
        <v>835500</v>
      </c>
      <c r="AC107" s="172"/>
      <c r="AD107" s="172"/>
      <c r="AE107" s="187">
        <f t="shared" si="36"/>
        <v>835500</v>
      </c>
      <c r="AF107" s="188"/>
      <c r="AG107" s="188"/>
      <c r="AH107" s="188"/>
    </row>
    <row r="108" spans="1:36" s="39" customFormat="1" ht="95.25" customHeight="1" hidden="1">
      <c r="A108" s="185"/>
      <c r="B108" s="76"/>
      <c r="C108" s="76"/>
      <c r="D108" s="76"/>
      <c r="E108" s="181" t="s">
        <v>731</v>
      </c>
      <c r="F108" s="80">
        <f t="shared" si="33"/>
        <v>0</v>
      </c>
      <c r="G108" s="103"/>
      <c r="H108" s="110"/>
      <c r="I108" s="110"/>
      <c r="J108" s="110"/>
      <c r="K108" s="110"/>
      <c r="L108" s="110"/>
      <c r="M108" s="110"/>
      <c r="N108" s="110"/>
      <c r="O108" s="95"/>
      <c r="P108" s="110"/>
      <c r="Q108" s="110"/>
      <c r="R108" s="110"/>
      <c r="S108" s="110"/>
      <c r="T108" s="110"/>
      <c r="U108" s="110"/>
      <c r="V108" s="110"/>
      <c r="W108" s="110"/>
      <c r="X108" s="110"/>
      <c r="Y108" s="110"/>
      <c r="Z108" s="110"/>
      <c r="AA108" s="103"/>
      <c r="AB108" s="103">
        <f t="shared" si="35"/>
        <v>0</v>
      </c>
      <c r="AC108" s="103"/>
      <c r="AD108" s="103"/>
      <c r="AE108" s="104">
        <f t="shared" si="36"/>
        <v>0</v>
      </c>
      <c r="AF108" s="12"/>
      <c r="AG108" s="12"/>
      <c r="AH108" s="12"/>
      <c r="AI108" s="190"/>
      <c r="AJ108" s="190"/>
    </row>
    <row r="109" spans="1:36" s="39" customFormat="1" ht="84.75" customHeight="1" hidden="1">
      <c r="A109" s="185"/>
      <c r="B109" s="76"/>
      <c r="C109" s="76"/>
      <c r="D109" s="76"/>
      <c r="E109" s="181" t="s">
        <v>732</v>
      </c>
      <c r="F109" s="80"/>
      <c r="G109" s="103"/>
      <c r="H109" s="110"/>
      <c r="I109" s="110"/>
      <c r="J109" s="110"/>
      <c r="K109" s="110"/>
      <c r="L109" s="110"/>
      <c r="M109" s="110"/>
      <c r="N109" s="110"/>
      <c r="O109" s="95"/>
      <c r="P109" s="110"/>
      <c r="Q109" s="110"/>
      <c r="R109" s="110"/>
      <c r="S109" s="110"/>
      <c r="T109" s="110"/>
      <c r="U109" s="110"/>
      <c r="V109" s="110"/>
      <c r="W109" s="110"/>
      <c r="X109" s="110"/>
      <c r="Y109" s="110"/>
      <c r="Z109" s="110"/>
      <c r="AA109" s="103"/>
      <c r="AB109" s="103">
        <f>SUM(G109:AA109)-O109</f>
        <v>0</v>
      </c>
      <c r="AC109" s="103"/>
      <c r="AD109" s="103"/>
      <c r="AE109" s="104">
        <f>SUM(AB109:AD109)</f>
        <v>0</v>
      </c>
      <c r="AF109" s="12"/>
      <c r="AG109" s="12"/>
      <c r="AH109" s="12"/>
      <c r="AI109" s="190"/>
      <c r="AJ109" s="190"/>
    </row>
    <row r="110" spans="1:34" s="39" customFormat="1" ht="114" customHeight="1" hidden="1">
      <c r="A110" s="185"/>
      <c r="B110" s="140"/>
      <c r="C110" s="140"/>
      <c r="D110" s="140"/>
      <c r="E110" s="181" t="s">
        <v>575</v>
      </c>
      <c r="F110" s="80">
        <f t="shared" si="33"/>
        <v>0</v>
      </c>
      <c r="G110" s="103"/>
      <c r="H110" s="110"/>
      <c r="I110" s="110"/>
      <c r="J110" s="110"/>
      <c r="K110" s="110"/>
      <c r="L110" s="110"/>
      <c r="M110" s="110"/>
      <c r="N110" s="110"/>
      <c r="O110" s="95">
        <f>SUM(P110:R110)</f>
        <v>0</v>
      </c>
      <c r="P110" s="110"/>
      <c r="Q110" s="110"/>
      <c r="R110" s="110"/>
      <c r="S110" s="110"/>
      <c r="T110" s="110"/>
      <c r="U110" s="110"/>
      <c r="V110" s="110"/>
      <c r="W110" s="110"/>
      <c r="X110" s="110"/>
      <c r="Y110" s="110"/>
      <c r="Z110" s="110"/>
      <c r="AA110" s="103"/>
      <c r="AB110" s="103">
        <f t="shared" si="35"/>
        <v>0</v>
      </c>
      <c r="AC110" s="103"/>
      <c r="AD110" s="103"/>
      <c r="AE110" s="104">
        <f t="shared" si="36"/>
        <v>0</v>
      </c>
      <c r="AF110" s="138"/>
      <c r="AG110" s="138"/>
      <c r="AH110" s="138"/>
    </row>
    <row r="111" spans="1:34" s="39" customFormat="1" ht="133.5" customHeight="1">
      <c r="A111" s="185"/>
      <c r="B111" s="140"/>
      <c r="C111" s="140"/>
      <c r="D111" s="140"/>
      <c r="E111" s="181" t="s">
        <v>674</v>
      </c>
      <c r="F111" s="80">
        <f t="shared" si="33"/>
        <v>0</v>
      </c>
      <c r="G111" s="103"/>
      <c r="H111" s="110"/>
      <c r="I111" s="110"/>
      <c r="J111" s="110"/>
      <c r="K111" s="110"/>
      <c r="L111" s="110"/>
      <c r="M111" s="110"/>
      <c r="N111" s="110"/>
      <c r="O111" s="95"/>
      <c r="P111" s="110"/>
      <c r="Q111" s="110"/>
      <c r="R111" s="110"/>
      <c r="S111" s="110"/>
      <c r="T111" s="110"/>
      <c r="U111" s="110"/>
      <c r="V111" s="110">
        <v>878500</v>
      </c>
      <c r="W111" s="110"/>
      <c r="X111" s="110"/>
      <c r="Y111" s="110"/>
      <c r="Z111" s="110"/>
      <c r="AA111" s="103"/>
      <c r="AB111" s="103">
        <f>SUM(G111:AA111)-O111</f>
        <v>878500</v>
      </c>
      <c r="AC111" s="103"/>
      <c r="AD111" s="103"/>
      <c r="AE111" s="104">
        <f t="shared" si="36"/>
        <v>878500</v>
      </c>
      <c r="AF111" s="38"/>
      <c r="AG111" s="123"/>
      <c r="AH111" s="123"/>
    </row>
    <row r="112" spans="1:34" s="39" customFormat="1" ht="63.75" customHeight="1" hidden="1">
      <c r="A112" s="185"/>
      <c r="B112" s="140"/>
      <c r="C112" s="140"/>
      <c r="D112" s="140"/>
      <c r="E112" s="181" t="s">
        <v>652</v>
      </c>
      <c r="F112" s="80"/>
      <c r="G112" s="103"/>
      <c r="H112" s="110"/>
      <c r="I112" s="110"/>
      <c r="J112" s="110"/>
      <c r="K112" s="110"/>
      <c r="L112" s="110"/>
      <c r="M112" s="110"/>
      <c r="N112" s="110"/>
      <c r="O112" s="95"/>
      <c r="P112" s="110"/>
      <c r="Q112" s="110"/>
      <c r="R112" s="110"/>
      <c r="S112" s="110"/>
      <c r="T112" s="110"/>
      <c r="U112" s="110"/>
      <c r="V112" s="110"/>
      <c r="W112" s="110"/>
      <c r="X112" s="110"/>
      <c r="Y112" s="110"/>
      <c r="Z112" s="110"/>
      <c r="AA112" s="103"/>
      <c r="AB112" s="103">
        <f>SUM(G112:AA112)-O112</f>
        <v>0</v>
      </c>
      <c r="AC112" s="103"/>
      <c r="AD112" s="103"/>
      <c r="AE112" s="104">
        <f>SUM(AB112:AD112)</f>
        <v>0</v>
      </c>
      <c r="AF112" s="12"/>
      <c r="AG112" s="12"/>
      <c r="AH112" s="12"/>
    </row>
    <row r="113" spans="1:34" s="39" customFormat="1" ht="155.25" customHeight="1">
      <c r="A113" s="185"/>
      <c r="B113" s="140"/>
      <c r="C113" s="140"/>
      <c r="D113" s="140"/>
      <c r="E113" s="181" t="s">
        <v>702</v>
      </c>
      <c r="F113" s="80">
        <f t="shared" si="33"/>
        <v>0</v>
      </c>
      <c r="G113" s="103"/>
      <c r="H113" s="110"/>
      <c r="I113" s="110"/>
      <c r="J113" s="110"/>
      <c r="K113" s="110"/>
      <c r="L113" s="110"/>
      <c r="M113" s="110"/>
      <c r="N113" s="110"/>
      <c r="O113" s="95"/>
      <c r="P113" s="110"/>
      <c r="Q113" s="110"/>
      <c r="R113" s="110"/>
      <c r="S113" s="110"/>
      <c r="T113" s="110"/>
      <c r="U113" s="110"/>
      <c r="V113" s="110">
        <f>-43000</f>
        <v>-43000</v>
      </c>
      <c r="W113" s="110"/>
      <c r="X113" s="110"/>
      <c r="Y113" s="110"/>
      <c r="Z113" s="110"/>
      <c r="AA113" s="103"/>
      <c r="AB113" s="183">
        <f>SUM(G113:AA113)-O113</f>
        <v>-43000</v>
      </c>
      <c r="AC113" s="183"/>
      <c r="AD113" s="183"/>
      <c r="AE113" s="104">
        <f>SUM(AB113:AD113)</f>
        <v>-43000</v>
      </c>
      <c r="AF113" s="123"/>
      <c r="AG113" s="138"/>
      <c r="AH113" s="138"/>
    </row>
    <row r="114" spans="1:34" s="189" customFormat="1" ht="51.75" customHeight="1">
      <c r="A114" s="191" t="s">
        <v>348</v>
      </c>
      <c r="B114" s="192" t="s">
        <v>18</v>
      </c>
      <c r="C114" s="192" t="s">
        <v>19</v>
      </c>
      <c r="D114" s="192" t="s">
        <v>254</v>
      </c>
      <c r="E114" s="116" t="s">
        <v>522</v>
      </c>
      <c r="F114" s="80">
        <f t="shared" si="33"/>
        <v>0</v>
      </c>
      <c r="G114" s="174">
        <f aca="true" t="shared" si="40" ref="G114:AA114">SUM(G115:G116)</f>
        <v>0</v>
      </c>
      <c r="H114" s="174">
        <f t="shared" si="40"/>
        <v>0</v>
      </c>
      <c r="I114" s="174">
        <f t="shared" si="40"/>
        <v>0</v>
      </c>
      <c r="J114" s="174">
        <f t="shared" si="40"/>
        <v>0</v>
      </c>
      <c r="K114" s="174">
        <f t="shared" si="40"/>
        <v>0</v>
      </c>
      <c r="L114" s="174">
        <f t="shared" si="40"/>
        <v>0</v>
      </c>
      <c r="M114" s="174">
        <f t="shared" si="40"/>
        <v>0</v>
      </c>
      <c r="N114" s="174">
        <f t="shared" si="40"/>
        <v>0</v>
      </c>
      <c r="O114" s="174">
        <f t="shared" si="40"/>
        <v>0</v>
      </c>
      <c r="P114" s="174">
        <f t="shared" si="40"/>
        <v>0</v>
      </c>
      <c r="Q114" s="174">
        <f t="shared" si="40"/>
        <v>0</v>
      </c>
      <c r="R114" s="174">
        <f t="shared" si="40"/>
        <v>0</v>
      </c>
      <c r="S114" s="174">
        <f t="shared" si="40"/>
        <v>0</v>
      </c>
      <c r="T114" s="174">
        <f t="shared" si="40"/>
        <v>0</v>
      </c>
      <c r="U114" s="174">
        <f t="shared" si="40"/>
        <v>0</v>
      </c>
      <c r="V114" s="174">
        <f t="shared" si="40"/>
        <v>-8980</v>
      </c>
      <c r="W114" s="174">
        <f t="shared" si="40"/>
        <v>0</v>
      </c>
      <c r="X114" s="174">
        <f t="shared" si="40"/>
        <v>0</v>
      </c>
      <c r="Y114" s="174">
        <f t="shared" si="40"/>
        <v>0</v>
      </c>
      <c r="Z114" s="174">
        <f t="shared" si="40"/>
        <v>0</v>
      </c>
      <c r="AA114" s="174">
        <f t="shared" si="40"/>
        <v>0</v>
      </c>
      <c r="AB114" s="193">
        <f t="shared" si="35"/>
        <v>-8980</v>
      </c>
      <c r="AC114" s="193"/>
      <c r="AD114" s="193"/>
      <c r="AE114" s="187">
        <f>SUM(AB114:AD114)</f>
        <v>-8980</v>
      </c>
      <c r="AF114" s="194"/>
      <c r="AG114" s="194"/>
      <c r="AH114" s="194"/>
    </row>
    <row r="115" spans="1:34" s="39" customFormat="1" ht="56.25" customHeight="1" hidden="1">
      <c r="A115" s="195"/>
      <c r="B115" s="196"/>
      <c r="C115" s="196"/>
      <c r="D115" s="196"/>
      <c r="E115" s="1" t="s">
        <v>523</v>
      </c>
      <c r="F115" s="80">
        <f t="shared" si="33"/>
        <v>0</v>
      </c>
      <c r="G115" s="80"/>
      <c r="H115" s="95"/>
      <c r="I115" s="95"/>
      <c r="J115" s="95"/>
      <c r="K115" s="95"/>
      <c r="L115" s="95"/>
      <c r="M115" s="95"/>
      <c r="N115" s="95"/>
      <c r="O115" s="95"/>
      <c r="P115" s="95"/>
      <c r="Q115" s="95"/>
      <c r="R115" s="95"/>
      <c r="S115" s="95"/>
      <c r="T115" s="95"/>
      <c r="U115" s="80"/>
      <c r="V115" s="95"/>
      <c r="W115" s="95"/>
      <c r="X115" s="95"/>
      <c r="Y115" s="95"/>
      <c r="Z115" s="95"/>
      <c r="AA115" s="80"/>
      <c r="AB115" s="80">
        <f t="shared" si="35"/>
        <v>0</v>
      </c>
      <c r="AC115" s="80"/>
      <c r="AD115" s="80"/>
      <c r="AE115" s="104">
        <f t="shared" si="36"/>
        <v>0</v>
      </c>
      <c r="AF115" s="38"/>
      <c r="AG115" s="38"/>
      <c r="AH115" s="38"/>
    </row>
    <row r="116" spans="1:34" s="39" customFormat="1" ht="138" customHeight="1">
      <c r="A116" s="195"/>
      <c r="B116" s="196"/>
      <c r="C116" s="196"/>
      <c r="D116" s="196"/>
      <c r="E116" s="1" t="s">
        <v>524</v>
      </c>
      <c r="F116" s="80">
        <f t="shared" si="33"/>
        <v>0</v>
      </c>
      <c r="G116" s="80"/>
      <c r="H116" s="95"/>
      <c r="I116" s="95"/>
      <c r="J116" s="95"/>
      <c r="K116" s="95"/>
      <c r="L116" s="95"/>
      <c r="M116" s="95"/>
      <c r="N116" s="95"/>
      <c r="O116" s="95"/>
      <c r="P116" s="95"/>
      <c r="Q116" s="95"/>
      <c r="R116" s="95"/>
      <c r="S116" s="95"/>
      <c r="T116" s="95"/>
      <c r="U116" s="95"/>
      <c r="V116" s="95">
        <v>-8980</v>
      </c>
      <c r="W116" s="95"/>
      <c r="X116" s="95"/>
      <c r="Y116" s="95"/>
      <c r="Z116" s="95"/>
      <c r="AA116" s="80"/>
      <c r="AB116" s="80">
        <f t="shared" si="35"/>
        <v>-8980</v>
      </c>
      <c r="AC116" s="80"/>
      <c r="AD116" s="80"/>
      <c r="AE116" s="104">
        <f t="shared" si="36"/>
        <v>-8980</v>
      </c>
      <c r="AF116" s="38"/>
      <c r="AG116" s="38"/>
      <c r="AH116" s="38"/>
    </row>
    <row r="117" spans="1:34" s="189" customFormat="1" ht="60.75" customHeight="1">
      <c r="A117" s="191" t="s">
        <v>339</v>
      </c>
      <c r="B117" s="192" t="s">
        <v>20</v>
      </c>
      <c r="C117" s="192" t="s">
        <v>21</v>
      </c>
      <c r="D117" s="192" t="s">
        <v>254</v>
      </c>
      <c r="E117" s="186" t="s">
        <v>520</v>
      </c>
      <c r="F117" s="80">
        <f t="shared" si="33"/>
        <v>0</v>
      </c>
      <c r="G117" s="174">
        <f aca="true" t="shared" si="41" ref="G117:AA117">SUM(G118:G119)</f>
        <v>0</v>
      </c>
      <c r="H117" s="174">
        <f t="shared" si="41"/>
        <v>0</v>
      </c>
      <c r="I117" s="174">
        <f t="shared" si="41"/>
        <v>0</v>
      </c>
      <c r="J117" s="174">
        <f t="shared" si="41"/>
        <v>0</v>
      </c>
      <c r="K117" s="174">
        <f t="shared" si="41"/>
        <v>0</v>
      </c>
      <c r="L117" s="174">
        <f t="shared" si="41"/>
        <v>0</v>
      </c>
      <c r="M117" s="174">
        <f t="shared" si="41"/>
        <v>0</v>
      </c>
      <c r="N117" s="174">
        <f t="shared" si="41"/>
        <v>0</v>
      </c>
      <c r="O117" s="174">
        <f t="shared" si="41"/>
        <v>0</v>
      </c>
      <c r="P117" s="174">
        <f t="shared" si="41"/>
        <v>0</v>
      </c>
      <c r="Q117" s="174">
        <f t="shared" si="41"/>
        <v>0</v>
      </c>
      <c r="R117" s="174">
        <f t="shared" si="41"/>
        <v>0</v>
      </c>
      <c r="S117" s="174">
        <f t="shared" si="41"/>
        <v>0</v>
      </c>
      <c r="T117" s="174">
        <f t="shared" si="41"/>
        <v>0</v>
      </c>
      <c r="U117" s="174">
        <f t="shared" si="41"/>
        <v>0</v>
      </c>
      <c r="V117" s="174">
        <f t="shared" si="41"/>
        <v>-11454</v>
      </c>
      <c r="W117" s="174">
        <f t="shared" si="41"/>
        <v>0</v>
      </c>
      <c r="X117" s="174">
        <f t="shared" si="41"/>
        <v>0</v>
      </c>
      <c r="Y117" s="174">
        <f t="shared" si="41"/>
        <v>0</v>
      </c>
      <c r="Z117" s="174">
        <f t="shared" si="41"/>
        <v>-6000</v>
      </c>
      <c r="AA117" s="174">
        <f t="shared" si="41"/>
        <v>0</v>
      </c>
      <c r="AB117" s="193">
        <f t="shared" si="35"/>
        <v>-17454</v>
      </c>
      <c r="AC117" s="193"/>
      <c r="AD117" s="193">
        <f>SUM(AD120:AD129)</f>
        <v>0</v>
      </c>
      <c r="AE117" s="187">
        <f t="shared" si="36"/>
        <v>-17454</v>
      </c>
      <c r="AF117" s="194"/>
      <c r="AG117" s="194"/>
      <c r="AH117" s="194"/>
    </row>
    <row r="118" spans="1:34" s="39" customFormat="1" ht="114.75" customHeight="1">
      <c r="A118" s="195"/>
      <c r="B118" s="196"/>
      <c r="C118" s="196"/>
      <c r="D118" s="196"/>
      <c r="E118" s="181" t="s">
        <v>706</v>
      </c>
      <c r="F118" s="80">
        <f t="shared" si="33"/>
        <v>0</v>
      </c>
      <c r="G118" s="80"/>
      <c r="H118" s="95"/>
      <c r="I118" s="95"/>
      <c r="J118" s="95"/>
      <c r="K118" s="95"/>
      <c r="L118" s="95"/>
      <c r="M118" s="95"/>
      <c r="N118" s="95"/>
      <c r="O118" s="95"/>
      <c r="P118" s="95"/>
      <c r="Q118" s="95"/>
      <c r="R118" s="95"/>
      <c r="S118" s="95"/>
      <c r="T118" s="95"/>
      <c r="U118" s="80"/>
      <c r="V118" s="95">
        <f>-2600</f>
        <v>-2600</v>
      </c>
      <c r="W118" s="95"/>
      <c r="X118" s="95"/>
      <c r="Y118" s="95"/>
      <c r="Z118" s="95">
        <v>-6000</v>
      </c>
      <c r="AA118" s="80"/>
      <c r="AB118" s="80">
        <f t="shared" si="35"/>
        <v>-8600</v>
      </c>
      <c r="AC118" s="80"/>
      <c r="AD118" s="80"/>
      <c r="AE118" s="104">
        <f t="shared" si="36"/>
        <v>-8600</v>
      </c>
      <c r="AF118" s="123"/>
      <c r="AG118" s="123"/>
      <c r="AH118" s="123"/>
    </row>
    <row r="119" spans="1:34" s="39" customFormat="1" ht="115.5" customHeight="1">
      <c r="A119" s="195"/>
      <c r="B119" s="196"/>
      <c r="C119" s="196"/>
      <c r="D119" s="196"/>
      <c r="E119" s="181" t="s">
        <v>521</v>
      </c>
      <c r="F119" s="80">
        <f t="shared" si="33"/>
        <v>0</v>
      </c>
      <c r="G119" s="80"/>
      <c r="H119" s="95"/>
      <c r="I119" s="95"/>
      <c r="J119" s="95"/>
      <c r="K119" s="95"/>
      <c r="L119" s="95"/>
      <c r="M119" s="95"/>
      <c r="N119" s="95"/>
      <c r="O119" s="95"/>
      <c r="P119" s="95"/>
      <c r="Q119" s="95"/>
      <c r="R119" s="95"/>
      <c r="S119" s="95"/>
      <c r="T119" s="95"/>
      <c r="U119" s="95"/>
      <c r="V119" s="95">
        <f>-74-8780</f>
        <v>-8854</v>
      </c>
      <c r="W119" s="95"/>
      <c r="X119" s="95"/>
      <c r="Y119" s="95"/>
      <c r="Z119" s="95"/>
      <c r="AA119" s="80"/>
      <c r="AB119" s="80">
        <f t="shared" si="35"/>
        <v>-8854</v>
      </c>
      <c r="AC119" s="80"/>
      <c r="AD119" s="80">
        <f>SUM(AD121:AD130)</f>
        <v>0</v>
      </c>
      <c r="AE119" s="104">
        <f t="shared" si="36"/>
        <v>-8854</v>
      </c>
      <c r="AF119" s="123"/>
      <c r="AG119" s="123"/>
      <c r="AH119" s="123"/>
    </row>
    <row r="120" spans="1:34" s="189" customFormat="1" ht="80.25" customHeight="1">
      <c r="A120" s="191" t="s">
        <v>340</v>
      </c>
      <c r="B120" s="192" t="s">
        <v>22</v>
      </c>
      <c r="C120" s="192" t="s">
        <v>23</v>
      </c>
      <c r="D120" s="192" t="s">
        <v>254</v>
      </c>
      <c r="E120" s="186" t="s">
        <v>62</v>
      </c>
      <c r="F120" s="80">
        <f t="shared" si="33"/>
        <v>0</v>
      </c>
      <c r="G120" s="193"/>
      <c r="H120" s="174"/>
      <c r="I120" s="174"/>
      <c r="J120" s="174"/>
      <c r="K120" s="174"/>
      <c r="L120" s="174"/>
      <c r="M120" s="174"/>
      <c r="N120" s="174"/>
      <c r="O120" s="174">
        <f>SUM(P120:R120)</f>
        <v>0</v>
      </c>
      <c r="P120" s="174"/>
      <c r="Q120" s="174"/>
      <c r="R120" s="174"/>
      <c r="S120" s="174"/>
      <c r="T120" s="174"/>
      <c r="U120" s="174"/>
      <c r="V120" s="174">
        <v>-27125</v>
      </c>
      <c r="W120" s="174"/>
      <c r="X120" s="174"/>
      <c r="Y120" s="174"/>
      <c r="Z120" s="174"/>
      <c r="AA120" s="193"/>
      <c r="AB120" s="193">
        <f t="shared" si="35"/>
        <v>-27125</v>
      </c>
      <c r="AC120" s="193"/>
      <c r="AD120" s="193">
        <f>SUM(AD121:AD130)</f>
        <v>0</v>
      </c>
      <c r="AE120" s="187">
        <f t="shared" si="36"/>
        <v>-27125</v>
      </c>
      <c r="AF120" s="194"/>
      <c r="AG120" s="194"/>
      <c r="AH120" s="194"/>
    </row>
    <row r="121" spans="1:34" s="189" customFormat="1" ht="69" customHeight="1">
      <c r="A121" s="191" t="s">
        <v>341</v>
      </c>
      <c r="B121" s="192" t="s">
        <v>24</v>
      </c>
      <c r="C121" s="192" t="s">
        <v>25</v>
      </c>
      <c r="D121" s="192" t="s">
        <v>254</v>
      </c>
      <c r="E121" s="186" t="s">
        <v>26</v>
      </c>
      <c r="F121" s="80">
        <f t="shared" si="33"/>
        <v>0</v>
      </c>
      <c r="G121" s="197">
        <f>SUM(G122:G126)</f>
        <v>0</v>
      </c>
      <c r="H121" s="197">
        <f aca="true" t="shared" si="42" ref="H121:AA121">SUM(H122:H126)</f>
        <v>0</v>
      </c>
      <c r="I121" s="198">
        <f t="shared" si="42"/>
        <v>0</v>
      </c>
      <c r="J121" s="197">
        <f t="shared" si="42"/>
        <v>0</v>
      </c>
      <c r="K121" s="197">
        <f t="shared" si="42"/>
        <v>0</v>
      </c>
      <c r="L121" s="197">
        <f t="shared" si="42"/>
        <v>0</v>
      </c>
      <c r="M121" s="197">
        <f t="shared" si="42"/>
        <v>0</v>
      </c>
      <c r="N121" s="197">
        <f t="shared" si="42"/>
        <v>0</v>
      </c>
      <c r="O121" s="193">
        <f t="shared" si="42"/>
        <v>0</v>
      </c>
      <c r="P121" s="197">
        <f t="shared" si="42"/>
        <v>0</v>
      </c>
      <c r="Q121" s="197">
        <f t="shared" si="42"/>
        <v>0</v>
      </c>
      <c r="R121" s="197">
        <f t="shared" si="42"/>
        <v>0</v>
      </c>
      <c r="S121" s="197">
        <f t="shared" si="42"/>
        <v>0</v>
      </c>
      <c r="T121" s="197">
        <f t="shared" si="42"/>
        <v>0</v>
      </c>
      <c r="U121" s="197">
        <f t="shared" si="42"/>
        <v>0</v>
      </c>
      <c r="V121" s="198">
        <f t="shared" si="42"/>
        <v>743100</v>
      </c>
      <c r="W121" s="197">
        <f t="shared" si="42"/>
        <v>0</v>
      </c>
      <c r="X121" s="197">
        <f t="shared" si="42"/>
        <v>0</v>
      </c>
      <c r="Y121" s="197">
        <f t="shared" si="42"/>
        <v>0</v>
      </c>
      <c r="Z121" s="198">
        <f>SUM(Z122:Z126)</f>
        <v>-14000</v>
      </c>
      <c r="AA121" s="198">
        <f t="shared" si="42"/>
        <v>0</v>
      </c>
      <c r="AB121" s="198">
        <f>SUM(G121:AA121)-O121</f>
        <v>729100</v>
      </c>
      <c r="AC121" s="172"/>
      <c r="AD121" s="172">
        <f>SUM(AD122:AD132)</f>
        <v>0</v>
      </c>
      <c r="AE121" s="187">
        <f>SUM(AB121:AD121)</f>
        <v>729100</v>
      </c>
      <c r="AF121" s="194"/>
      <c r="AG121" s="194"/>
      <c r="AH121" s="194"/>
    </row>
    <row r="122" spans="1:34" s="39" customFormat="1" ht="40.5" customHeight="1">
      <c r="A122" s="195"/>
      <c r="B122" s="196"/>
      <c r="C122" s="196"/>
      <c r="D122" s="196"/>
      <c r="E122" s="181" t="s">
        <v>588</v>
      </c>
      <c r="F122" s="80">
        <f t="shared" si="33"/>
        <v>0</v>
      </c>
      <c r="G122" s="80"/>
      <c r="H122" s="95"/>
      <c r="I122" s="109"/>
      <c r="J122" s="95"/>
      <c r="K122" s="95"/>
      <c r="L122" s="95"/>
      <c r="M122" s="95"/>
      <c r="N122" s="95"/>
      <c r="O122" s="95"/>
      <c r="P122" s="95"/>
      <c r="Q122" s="95"/>
      <c r="R122" s="95"/>
      <c r="S122" s="95"/>
      <c r="T122" s="95"/>
      <c r="U122" s="95"/>
      <c r="V122" s="109">
        <v>400000</v>
      </c>
      <c r="W122" s="95"/>
      <c r="X122" s="95"/>
      <c r="Y122" s="95"/>
      <c r="Z122" s="109">
        <v>-14000</v>
      </c>
      <c r="AA122" s="80"/>
      <c r="AB122" s="32">
        <f t="shared" si="35"/>
        <v>386000</v>
      </c>
      <c r="AC122" s="103"/>
      <c r="AD122" s="103">
        <f>SUM(AD123:AD133)</f>
        <v>0</v>
      </c>
      <c r="AE122" s="104">
        <f t="shared" si="36"/>
        <v>386000</v>
      </c>
      <c r="AF122" s="38"/>
      <c r="AG122" s="138"/>
      <c r="AH122" s="138"/>
    </row>
    <row r="123" spans="1:34" s="127" customFormat="1" ht="86.25" customHeight="1">
      <c r="A123" s="140"/>
      <c r="B123" s="107"/>
      <c r="C123" s="107"/>
      <c r="D123" s="107"/>
      <c r="E123" s="1" t="s">
        <v>733</v>
      </c>
      <c r="F123" s="82">
        <f t="shared" si="33"/>
        <v>0</v>
      </c>
      <c r="G123" s="82"/>
      <c r="H123" s="153"/>
      <c r="I123" s="153"/>
      <c r="J123" s="153"/>
      <c r="K123" s="153"/>
      <c r="L123" s="153"/>
      <c r="M123" s="153"/>
      <c r="N123" s="153"/>
      <c r="O123" s="153"/>
      <c r="P123" s="153"/>
      <c r="Q123" s="153"/>
      <c r="R123" s="153"/>
      <c r="S123" s="153"/>
      <c r="T123" s="153"/>
      <c r="U123" s="153"/>
      <c r="V123" s="154">
        <v>343100</v>
      </c>
      <c r="W123" s="153"/>
      <c r="X123" s="153"/>
      <c r="Y123" s="153"/>
      <c r="Z123" s="154"/>
      <c r="AA123" s="199"/>
      <c r="AB123" s="199">
        <f t="shared" si="35"/>
        <v>343100</v>
      </c>
      <c r="AC123" s="199"/>
      <c r="AD123" s="199">
        <f>SUM(AD126:AD138)</f>
        <v>0</v>
      </c>
      <c r="AE123" s="157">
        <f t="shared" si="36"/>
        <v>343100</v>
      </c>
      <c r="AF123" s="155"/>
      <c r="AG123" s="155"/>
      <c r="AH123" s="155"/>
    </row>
    <row r="124" spans="1:34" s="39" customFormat="1" ht="76.5" customHeight="1" hidden="1">
      <c r="A124" s="195"/>
      <c r="B124" s="196"/>
      <c r="C124" s="196"/>
      <c r="D124" s="196"/>
      <c r="E124" s="181" t="s">
        <v>734</v>
      </c>
      <c r="F124" s="80">
        <f t="shared" si="33"/>
        <v>0</v>
      </c>
      <c r="G124" s="80"/>
      <c r="H124" s="95"/>
      <c r="I124" s="95"/>
      <c r="J124" s="95"/>
      <c r="K124" s="95"/>
      <c r="L124" s="95"/>
      <c r="M124" s="95"/>
      <c r="N124" s="95"/>
      <c r="O124" s="95"/>
      <c r="P124" s="95"/>
      <c r="Q124" s="95"/>
      <c r="R124" s="95"/>
      <c r="S124" s="95"/>
      <c r="T124" s="95"/>
      <c r="U124" s="95"/>
      <c r="V124" s="95"/>
      <c r="W124" s="95"/>
      <c r="X124" s="95"/>
      <c r="Y124" s="95"/>
      <c r="Z124" s="109"/>
      <c r="AA124" s="32"/>
      <c r="AB124" s="199">
        <f>SUM(G124:AA124)-O124</f>
        <v>0</v>
      </c>
      <c r="AC124" s="199"/>
      <c r="AD124" s="199">
        <f>SUM(AD127:AD139)</f>
        <v>0</v>
      </c>
      <c r="AE124" s="157">
        <f>SUM(AB124:AD124)</f>
        <v>0</v>
      </c>
      <c r="AF124" s="123"/>
      <c r="AG124" s="123"/>
      <c r="AH124" s="123"/>
    </row>
    <row r="125" spans="1:34" s="39" customFormat="1" ht="60.75" customHeight="1" hidden="1">
      <c r="A125" s="195"/>
      <c r="B125" s="196"/>
      <c r="C125" s="196"/>
      <c r="D125" s="196"/>
      <c r="E125" s="181" t="s">
        <v>735</v>
      </c>
      <c r="F125" s="80"/>
      <c r="G125" s="80"/>
      <c r="H125" s="95"/>
      <c r="I125" s="95"/>
      <c r="J125" s="95"/>
      <c r="K125" s="95"/>
      <c r="L125" s="95"/>
      <c r="M125" s="95"/>
      <c r="N125" s="95"/>
      <c r="O125" s="95"/>
      <c r="P125" s="95"/>
      <c r="Q125" s="95"/>
      <c r="R125" s="95"/>
      <c r="S125" s="95"/>
      <c r="T125" s="95"/>
      <c r="U125" s="95"/>
      <c r="V125" s="109"/>
      <c r="W125" s="95"/>
      <c r="X125" s="95"/>
      <c r="Y125" s="95"/>
      <c r="Z125" s="109"/>
      <c r="AA125" s="32"/>
      <c r="AB125" s="199">
        <f>SUM(G125:AA125)-O125</f>
        <v>0</v>
      </c>
      <c r="AC125" s="199"/>
      <c r="AD125" s="199">
        <f>SUM(AD128:AD140)</f>
        <v>0</v>
      </c>
      <c r="AE125" s="157">
        <f>SUM(AB125:AD125)</f>
        <v>0</v>
      </c>
      <c r="AF125" s="138"/>
      <c r="AG125" s="138"/>
      <c r="AH125" s="138"/>
    </row>
    <row r="126" spans="1:34" s="39" customFormat="1" ht="60" customHeight="1" hidden="1">
      <c r="A126" s="195"/>
      <c r="B126" s="196"/>
      <c r="C126" s="196"/>
      <c r="D126" s="196"/>
      <c r="E126" s="181" t="s">
        <v>736</v>
      </c>
      <c r="F126" s="80">
        <f t="shared" si="33"/>
        <v>0</v>
      </c>
      <c r="G126" s="80"/>
      <c r="H126" s="95"/>
      <c r="I126" s="95"/>
      <c r="J126" s="95"/>
      <c r="K126" s="95"/>
      <c r="L126" s="95"/>
      <c r="M126" s="95"/>
      <c r="N126" s="95"/>
      <c r="O126" s="95"/>
      <c r="P126" s="95"/>
      <c r="Q126" s="95"/>
      <c r="R126" s="95"/>
      <c r="S126" s="95"/>
      <c r="T126" s="95"/>
      <c r="U126" s="95"/>
      <c r="V126" s="95"/>
      <c r="W126" s="95"/>
      <c r="X126" s="95"/>
      <c r="Y126" s="95"/>
      <c r="Z126" s="95"/>
      <c r="AA126" s="80"/>
      <c r="AB126" s="80">
        <f t="shared" si="35"/>
        <v>0</v>
      </c>
      <c r="AC126" s="80"/>
      <c r="AD126" s="80">
        <f>SUM(AD127:AD138)</f>
        <v>0</v>
      </c>
      <c r="AE126" s="104">
        <f t="shared" si="36"/>
        <v>0</v>
      </c>
      <c r="AF126" s="200"/>
      <c r="AG126" s="200"/>
      <c r="AH126" s="200"/>
    </row>
    <row r="127" spans="1:34" s="39" customFormat="1" ht="52.5" customHeight="1">
      <c r="A127" s="195" t="s">
        <v>342</v>
      </c>
      <c r="B127" s="192" t="s">
        <v>27</v>
      </c>
      <c r="C127" s="192" t="s">
        <v>28</v>
      </c>
      <c r="D127" s="192" t="s">
        <v>254</v>
      </c>
      <c r="E127" s="186" t="s">
        <v>658</v>
      </c>
      <c r="F127" s="80">
        <f t="shared" si="33"/>
        <v>0</v>
      </c>
      <c r="G127" s="80">
        <f>G128</f>
        <v>0</v>
      </c>
      <c r="H127" s="80">
        <f aca="true" t="shared" si="43" ref="H127:AA127">H128</f>
        <v>0</v>
      </c>
      <c r="I127" s="80">
        <f t="shared" si="43"/>
        <v>0</v>
      </c>
      <c r="J127" s="80">
        <f t="shared" si="43"/>
        <v>0</v>
      </c>
      <c r="K127" s="80">
        <f t="shared" si="43"/>
        <v>0</v>
      </c>
      <c r="L127" s="80">
        <f t="shared" si="43"/>
        <v>0</v>
      </c>
      <c r="M127" s="80">
        <f t="shared" si="43"/>
        <v>0</v>
      </c>
      <c r="N127" s="80">
        <f t="shared" si="43"/>
        <v>0</v>
      </c>
      <c r="O127" s="80">
        <f t="shared" si="43"/>
        <v>0</v>
      </c>
      <c r="P127" s="80">
        <f t="shared" si="43"/>
        <v>0</v>
      </c>
      <c r="Q127" s="80">
        <f t="shared" si="43"/>
        <v>0</v>
      </c>
      <c r="R127" s="80">
        <f t="shared" si="43"/>
        <v>0</v>
      </c>
      <c r="S127" s="80">
        <f t="shared" si="43"/>
        <v>0</v>
      </c>
      <c r="T127" s="80">
        <f t="shared" si="43"/>
        <v>0</v>
      </c>
      <c r="U127" s="80">
        <f t="shared" si="43"/>
        <v>0</v>
      </c>
      <c r="V127" s="80">
        <f t="shared" si="43"/>
        <v>0</v>
      </c>
      <c r="W127" s="80">
        <f t="shared" si="43"/>
        <v>0</v>
      </c>
      <c r="X127" s="80">
        <f t="shared" si="43"/>
        <v>0</v>
      </c>
      <c r="Y127" s="80">
        <f t="shared" si="43"/>
        <v>0</v>
      </c>
      <c r="Z127" s="80">
        <f t="shared" si="43"/>
        <v>-65000</v>
      </c>
      <c r="AA127" s="80">
        <f t="shared" si="43"/>
        <v>0</v>
      </c>
      <c r="AB127" s="80">
        <f t="shared" si="35"/>
        <v>-65000</v>
      </c>
      <c r="AC127" s="80"/>
      <c r="AD127" s="80">
        <f>SUM(AD129:AD140)</f>
        <v>0</v>
      </c>
      <c r="AE127" s="104">
        <f t="shared" si="36"/>
        <v>-65000</v>
      </c>
      <c r="AF127" s="38"/>
      <c r="AG127" s="38"/>
      <c r="AH127" s="38"/>
    </row>
    <row r="128" spans="1:34" s="39" customFormat="1" ht="60.75" customHeight="1">
      <c r="A128" s="195"/>
      <c r="B128" s="196"/>
      <c r="C128" s="196"/>
      <c r="D128" s="196"/>
      <c r="E128" s="181" t="s">
        <v>492</v>
      </c>
      <c r="F128" s="80">
        <f t="shared" si="33"/>
        <v>0</v>
      </c>
      <c r="G128" s="80"/>
      <c r="H128" s="95"/>
      <c r="I128" s="95"/>
      <c r="J128" s="95"/>
      <c r="K128" s="95"/>
      <c r="L128" s="95"/>
      <c r="M128" s="95"/>
      <c r="N128" s="95"/>
      <c r="O128" s="95">
        <f>SUM(P128:R128)</f>
        <v>0</v>
      </c>
      <c r="P128" s="95"/>
      <c r="Q128" s="95"/>
      <c r="R128" s="95"/>
      <c r="S128" s="95"/>
      <c r="T128" s="95"/>
      <c r="U128" s="95"/>
      <c r="V128" s="95"/>
      <c r="W128" s="95"/>
      <c r="X128" s="95"/>
      <c r="Y128" s="95"/>
      <c r="Z128" s="95">
        <v>-65000</v>
      </c>
      <c r="AA128" s="80"/>
      <c r="AB128" s="80">
        <f t="shared" si="35"/>
        <v>-65000</v>
      </c>
      <c r="AC128" s="80"/>
      <c r="AD128" s="80">
        <f>SUM(AD130:AD141)</f>
        <v>0</v>
      </c>
      <c r="AE128" s="104">
        <f t="shared" si="36"/>
        <v>-65000</v>
      </c>
      <c r="AF128" s="38"/>
      <c r="AG128" s="38"/>
      <c r="AH128" s="38"/>
    </row>
    <row r="129" spans="1:34" s="189" customFormat="1" ht="100.5" customHeight="1" hidden="1">
      <c r="A129" s="191"/>
      <c r="B129" s="192" t="s">
        <v>488</v>
      </c>
      <c r="C129" s="192" t="s">
        <v>489</v>
      </c>
      <c r="D129" s="192" t="s">
        <v>254</v>
      </c>
      <c r="E129" s="186" t="s">
        <v>737</v>
      </c>
      <c r="F129" s="80">
        <f t="shared" si="33"/>
        <v>0</v>
      </c>
      <c r="G129" s="193"/>
      <c r="H129" s="174"/>
      <c r="I129" s="174"/>
      <c r="J129" s="174"/>
      <c r="K129" s="174"/>
      <c r="L129" s="174"/>
      <c r="M129" s="174"/>
      <c r="N129" s="174"/>
      <c r="O129" s="174">
        <f>SUM(P129:R129)</f>
        <v>0</v>
      </c>
      <c r="P129" s="174"/>
      <c r="Q129" s="174"/>
      <c r="R129" s="174"/>
      <c r="S129" s="174"/>
      <c r="T129" s="174"/>
      <c r="U129" s="174"/>
      <c r="V129" s="174"/>
      <c r="W129" s="174"/>
      <c r="X129" s="174"/>
      <c r="Y129" s="174"/>
      <c r="Z129" s="174"/>
      <c r="AA129" s="193"/>
      <c r="AB129" s="193">
        <f t="shared" si="35"/>
        <v>0</v>
      </c>
      <c r="AC129" s="193"/>
      <c r="AD129" s="193">
        <f>SUM(AD132:AD141)</f>
        <v>0</v>
      </c>
      <c r="AE129" s="187">
        <f t="shared" si="36"/>
        <v>0</v>
      </c>
      <c r="AF129" s="133"/>
      <c r="AG129" s="133"/>
      <c r="AH129" s="133"/>
    </row>
    <row r="130" spans="1:34" s="189" customFormat="1" ht="59.25" customHeight="1" hidden="1">
      <c r="A130" s="191"/>
      <c r="B130" s="192" t="s">
        <v>29</v>
      </c>
      <c r="C130" s="192" t="s">
        <v>664</v>
      </c>
      <c r="D130" s="192" t="s">
        <v>254</v>
      </c>
      <c r="E130" s="186" t="s">
        <v>30</v>
      </c>
      <c r="F130" s="193">
        <f t="shared" si="33"/>
        <v>0</v>
      </c>
      <c r="G130" s="193">
        <f>G131</f>
        <v>0</v>
      </c>
      <c r="H130" s="193">
        <f aca="true" t="shared" si="44" ref="H130:AA130">H131</f>
        <v>0</v>
      </c>
      <c r="I130" s="193">
        <f t="shared" si="44"/>
        <v>0</v>
      </c>
      <c r="J130" s="193">
        <f t="shared" si="44"/>
        <v>0</v>
      </c>
      <c r="K130" s="193">
        <f t="shared" si="44"/>
        <v>0</v>
      </c>
      <c r="L130" s="193">
        <f t="shared" si="44"/>
        <v>0</v>
      </c>
      <c r="M130" s="193">
        <f t="shared" si="44"/>
        <v>0</v>
      </c>
      <c r="N130" s="193">
        <f t="shared" si="44"/>
        <v>0</v>
      </c>
      <c r="O130" s="193">
        <f t="shared" si="44"/>
        <v>0</v>
      </c>
      <c r="P130" s="193">
        <f t="shared" si="44"/>
        <v>0</v>
      </c>
      <c r="Q130" s="193">
        <f t="shared" si="44"/>
        <v>0</v>
      </c>
      <c r="R130" s="193">
        <f t="shared" si="44"/>
        <v>0</v>
      </c>
      <c r="S130" s="193">
        <f t="shared" si="44"/>
        <v>0</v>
      </c>
      <c r="T130" s="193">
        <f t="shared" si="44"/>
        <v>0</v>
      </c>
      <c r="U130" s="193">
        <f t="shared" si="44"/>
        <v>0</v>
      </c>
      <c r="V130" s="193">
        <f t="shared" si="44"/>
        <v>0</v>
      </c>
      <c r="W130" s="193">
        <f t="shared" si="44"/>
        <v>0</v>
      </c>
      <c r="X130" s="193">
        <f t="shared" si="44"/>
        <v>0</v>
      </c>
      <c r="Y130" s="193">
        <f t="shared" si="44"/>
        <v>0</v>
      </c>
      <c r="Z130" s="193">
        <f t="shared" si="44"/>
        <v>0</v>
      </c>
      <c r="AA130" s="193">
        <f t="shared" si="44"/>
        <v>0</v>
      </c>
      <c r="AB130" s="193">
        <f t="shared" si="35"/>
        <v>0</v>
      </c>
      <c r="AC130" s="193"/>
      <c r="AD130" s="193"/>
      <c r="AE130" s="187">
        <f t="shared" si="36"/>
        <v>0</v>
      </c>
      <c r="AF130" s="194"/>
      <c r="AG130" s="194"/>
      <c r="AH130" s="194"/>
    </row>
    <row r="131" spans="1:34" s="189" customFormat="1" ht="59.25" customHeight="1" hidden="1">
      <c r="A131" s="191"/>
      <c r="B131" s="192"/>
      <c r="C131" s="192"/>
      <c r="D131" s="192"/>
      <c r="E131" s="181" t="s">
        <v>652</v>
      </c>
      <c r="F131" s="193">
        <f t="shared" si="33"/>
        <v>0</v>
      </c>
      <c r="G131" s="193"/>
      <c r="H131" s="193"/>
      <c r="I131" s="193"/>
      <c r="J131" s="193"/>
      <c r="K131" s="193"/>
      <c r="L131" s="193"/>
      <c r="M131" s="193"/>
      <c r="N131" s="193"/>
      <c r="O131" s="174"/>
      <c r="P131" s="174"/>
      <c r="Q131" s="174"/>
      <c r="R131" s="174"/>
      <c r="S131" s="174"/>
      <c r="T131" s="174"/>
      <c r="U131" s="174"/>
      <c r="V131" s="174"/>
      <c r="W131" s="174"/>
      <c r="X131" s="174"/>
      <c r="Y131" s="174"/>
      <c r="Z131" s="174"/>
      <c r="AA131" s="174"/>
      <c r="AB131" s="193">
        <f>SUM(G131:AA131)-O131</f>
        <v>0</v>
      </c>
      <c r="AC131" s="193"/>
      <c r="AD131" s="193"/>
      <c r="AE131" s="187">
        <f>SUM(AB131:AD131)</f>
        <v>0</v>
      </c>
      <c r="AF131" s="194"/>
      <c r="AG131" s="194"/>
      <c r="AH131" s="194"/>
    </row>
    <row r="132" spans="1:34" s="189" customFormat="1" ht="57.75" customHeight="1">
      <c r="A132" s="191"/>
      <c r="B132" s="192" t="s">
        <v>31</v>
      </c>
      <c r="C132" s="192" t="s">
        <v>32</v>
      </c>
      <c r="D132" s="192" t="s">
        <v>254</v>
      </c>
      <c r="E132" s="186" t="s">
        <v>738</v>
      </c>
      <c r="F132" s="80">
        <f t="shared" si="33"/>
        <v>0</v>
      </c>
      <c r="G132" s="193">
        <f aca="true" t="shared" si="45" ref="G132:N132">SUM(G133:G141)</f>
        <v>0</v>
      </c>
      <c r="H132" s="193">
        <f t="shared" si="45"/>
        <v>0</v>
      </c>
      <c r="I132" s="193">
        <f t="shared" si="45"/>
        <v>0</v>
      </c>
      <c r="J132" s="193">
        <f t="shared" si="45"/>
        <v>0</v>
      </c>
      <c r="K132" s="193">
        <f t="shared" si="45"/>
        <v>0</v>
      </c>
      <c r="L132" s="193">
        <f t="shared" si="45"/>
        <v>-63187</v>
      </c>
      <c r="M132" s="193">
        <f t="shared" si="45"/>
        <v>0</v>
      </c>
      <c r="N132" s="193">
        <f t="shared" si="45"/>
        <v>0</v>
      </c>
      <c r="O132" s="174">
        <f>SUM(P132:R132)</f>
        <v>0</v>
      </c>
      <c r="P132" s="193">
        <f aca="true" t="shared" si="46" ref="P132:AA132">SUM(P133:P141)</f>
        <v>0</v>
      </c>
      <c r="Q132" s="193">
        <f t="shared" si="46"/>
        <v>0</v>
      </c>
      <c r="R132" s="193">
        <f t="shared" si="46"/>
        <v>0</v>
      </c>
      <c r="S132" s="193">
        <f t="shared" si="46"/>
        <v>0</v>
      </c>
      <c r="T132" s="193">
        <f t="shared" si="46"/>
        <v>0</v>
      </c>
      <c r="U132" s="193">
        <f t="shared" si="46"/>
        <v>0</v>
      </c>
      <c r="V132" s="198">
        <f t="shared" si="46"/>
        <v>-274674</v>
      </c>
      <c r="W132" s="198">
        <f t="shared" si="46"/>
        <v>0</v>
      </c>
      <c r="X132" s="198">
        <f t="shared" si="46"/>
        <v>0</v>
      </c>
      <c r="Y132" s="198">
        <f t="shared" si="46"/>
        <v>0</v>
      </c>
      <c r="Z132" s="198">
        <f>SUM(Z133:Z141)</f>
        <v>-234158</v>
      </c>
      <c r="AA132" s="198">
        <f t="shared" si="46"/>
        <v>0</v>
      </c>
      <c r="AB132" s="198">
        <f t="shared" si="35"/>
        <v>-572019</v>
      </c>
      <c r="AC132" s="193"/>
      <c r="AD132" s="193"/>
      <c r="AE132" s="187">
        <f t="shared" si="36"/>
        <v>-572019</v>
      </c>
      <c r="AF132" s="194"/>
      <c r="AG132" s="194"/>
      <c r="AH132" s="194"/>
    </row>
    <row r="133" spans="1:34" s="39" customFormat="1" ht="48" customHeight="1">
      <c r="A133" s="76"/>
      <c r="B133" s="192"/>
      <c r="C133" s="101"/>
      <c r="D133" s="101"/>
      <c r="E133" s="1" t="s">
        <v>667</v>
      </c>
      <c r="F133" s="80">
        <f t="shared" si="33"/>
        <v>0</v>
      </c>
      <c r="G133" s="80"/>
      <c r="H133" s="95"/>
      <c r="I133" s="95"/>
      <c r="J133" s="95"/>
      <c r="K133" s="95"/>
      <c r="L133" s="95"/>
      <c r="M133" s="95"/>
      <c r="N133" s="95"/>
      <c r="O133" s="95">
        <f>SUM(P133:R133)</f>
        <v>0</v>
      </c>
      <c r="P133" s="95"/>
      <c r="Q133" s="95"/>
      <c r="R133" s="95"/>
      <c r="S133" s="95"/>
      <c r="T133" s="95"/>
      <c r="U133" s="95"/>
      <c r="V133" s="109"/>
      <c r="W133" s="109"/>
      <c r="X133" s="109"/>
      <c r="Y133" s="109"/>
      <c r="Z133" s="109">
        <v>-34299</v>
      </c>
      <c r="AA133" s="32"/>
      <c r="AB133" s="32">
        <f t="shared" si="35"/>
        <v>-34299</v>
      </c>
      <c r="AC133" s="80"/>
      <c r="AD133" s="80"/>
      <c r="AE133" s="104">
        <f t="shared" si="36"/>
        <v>-34299</v>
      </c>
      <c r="AF133" s="38"/>
      <c r="AG133" s="38"/>
      <c r="AH133" s="38"/>
    </row>
    <row r="134" spans="1:34" s="39" customFormat="1" ht="45.75" customHeight="1" hidden="1">
      <c r="A134" s="76"/>
      <c r="B134" s="192"/>
      <c r="C134" s="101"/>
      <c r="D134" s="101"/>
      <c r="E134" s="1" t="s">
        <v>668</v>
      </c>
      <c r="F134" s="80">
        <f t="shared" si="33"/>
        <v>0</v>
      </c>
      <c r="G134" s="80"/>
      <c r="H134" s="95"/>
      <c r="I134" s="95"/>
      <c r="J134" s="95"/>
      <c r="K134" s="95"/>
      <c r="L134" s="95"/>
      <c r="M134" s="95"/>
      <c r="N134" s="95"/>
      <c r="O134" s="95"/>
      <c r="P134" s="95"/>
      <c r="Q134" s="95"/>
      <c r="R134" s="95"/>
      <c r="S134" s="95"/>
      <c r="T134" s="95"/>
      <c r="U134" s="95"/>
      <c r="V134" s="109"/>
      <c r="W134" s="109"/>
      <c r="X134" s="109"/>
      <c r="Y134" s="109"/>
      <c r="Z134" s="109"/>
      <c r="AA134" s="32"/>
      <c r="AB134" s="32">
        <f>SUM(G134:AA134)-O134</f>
        <v>0</v>
      </c>
      <c r="AC134" s="80"/>
      <c r="AD134" s="80"/>
      <c r="AE134" s="104">
        <f>SUM(AB134:AD134)</f>
        <v>0</v>
      </c>
      <c r="AF134" s="38"/>
      <c r="AG134" s="38"/>
      <c r="AH134" s="38"/>
    </row>
    <row r="135" spans="1:34" s="39" customFormat="1" ht="45.75" customHeight="1">
      <c r="A135" s="76"/>
      <c r="B135" s="192"/>
      <c r="C135" s="101"/>
      <c r="D135" s="101"/>
      <c r="E135" s="1" t="s">
        <v>707</v>
      </c>
      <c r="F135" s="80">
        <f t="shared" si="33"/>
        <v>0</v>
      </c>
      <c r="G135" s="80"/>
      <c r="H135" s="95"/>
      <c r="I135" s="95"/>
      <c r="J135" s="95"/>
      <c r="K135" s="95"/>
      <c r="L135" s="95"/>
      <c r="M135" s="95"/>
      <c r="N135" s="95"/>
      <c r="O135" s="95"/>
      <c r="P135" s="95"/>
      <c r="Q135" s="95"/>
      <c r="R135" s="95"/>
      <c r="S135" s="95"/>
      <c r="T135" s="95"/>
      <c r="U135" s="95"/>
      <c r="V135" s="109"/>
      <c r="W135" s="109"/>
      <c r="X135" s="109"/>
      <c r="Y135" s="109"/>
      <c r="Z135" s="109">
        <v>-34900</v>
      </c>
      <c r="AA135" s="32"/>
      <c r="AB135" s="32">
        <f>SUM(G135:AA135)-O135</f>
        <v>-34900</v>
      </c>
      <c r="AC135" s="80"/>
      <c r="AD135" s="80"/>
      <c r="AE135" s="104">
        <f>SUM(AB135:AD135)</f>
        <v>-34900</v>
      </c>
      <c r="AF135" s="38"/>
      <c r="AG135" s="38"/>
      <c r="AH135" s="38"/>
    </row>
    <row r="136" spans="1:34" s="39" customFormat="1" ht="90" customHeight="1">
      <c r="A136" s="76"/>
      <c r="B136" s="192"/>
      <c r="C136" s="101"/>
      <c r="D136" s="101"/>
      <c r="E136" s="1" t="s">
        <v>666</v>
      </c>
      <c r="F136" s="80"/>
      <c r="G136" s="80"/>
      <c r="H136" s="95"/>
      <c r="I136" s="95"/>
      <c r="J136" s="95"/>
      <c r="K136" s="95"/>
      <c r="L136" s="95"/>
      <c r="M136" s="95"/>
      <c r="N136" s="95"/>
      <c r="O136" s="95"/>
      <c r="P136" s="95"/>
      <c r="Q136" s="95"/>
      <c r="R136" s="95"/>
      <c r="S136" s="95"/>
      <c r="T136" s="95"/>
      <c r="U136" s="95"/>
      <c r="V136" s="109"/>
      <c r="W136" s="109"/>
      <c r="X136" s="109"/>
      <c r="Y136" s="109"/>
      <c r="Z136" s="109">
        <f>-8959-127000</f>
        <v>-135959</v>
      </c>
      <c r="AA136" s="32"/>
      <c r="AB136" s="32">
        <f>SUM(G136:AA136)-O136</f>
        <v>-135959</v>
      </c>
      <c r="AC136" s="80"/>
      <c r="AD136" s="80"/>
      <c r="AE136" s="104">
        <f>SUM(AB136:AD136)</f>
        <v>-135959</v>
      </c>
      <c r="AF136" s="38"/>
      <c r="AG136" s="38"/>
      <c r="AH136" s="38"/>
    </row>
    <row r="137" spans="1:34" s="39" customFormat="1" ht="45.75" customHeight="1">
      <c r="A137" s="76"/>
      <c r="B137" s="192"/>
      <c r="C137" s="101"/>
      <c r="D137" s="101"/>
      <c r="E137" s="1" t="s">
        <v>669</v>
      </c>
      <c r="F137" s="80">
        <f t="shared" si="33"/>
        <v>0</v>
      </c>
      <c r="G137" s="80"/>
      <c r="H137" s="95"/>
      <c r="I137" s="95"/>
      <c r="J137" s="95"/>
      <c r="K137" s="95"/>
      <c r="L137" s="95"/>
      <c r="M137" s="95"/>
      <c r="N137" s="95"/>
      <c r="O137" s="95"/>
      <c r="P137" s="95"/>
      <c r="Q137" s="95"/>
      <c r="R137" s="95"/>
      <c r="S137" s="95"/>
      <c r="T137" s="95"/>
      <c r="U137" s="95"/>
      <c r="V137" s="109"/>
      <c r="W137" s="109"/>
      <c r="X137" s="109"/>
      <c r="Y137" s="109"/>
      <c r="Z137" s="109">
        <v>-29000</v>
      </c>
      <c r="AA137" s="32"/>
      <c r="AB137" s="32">
        <f>SUM(G137:AA137)-O137</f>
        <v>-29000</v>
      </c>
      <c r="AC137" s="80"/>
      <c r="AD137" s="80"/>
      <c r="AE137" s="104">
        <f>SUM(AB137:AD137)</f>
        <v>-29000</v>
      </c>
      <c r="AF137" s="123"/>
      <c r="AG137" s="123"/>
      <c r="AH137" s="123"/>
    </row>
    <row r="138" spans="1:34" s="39" customFormat="1" ht="45" customHeight="1" hidden="1">
      <c r="A138" s="76"/>
      <c r="B138" s="192"/>
      <c r="C138" s="101"/>
      <c r="D138" s="192"/>
      <c r="E138" s="1" t="s">
        <v>649</v>
      </c>
      <c r="F138" s="80">
        <f t="shared" si="33"/>
        <v>0</v>
      </c>
      <c r="G138" s="80"/>
      <c r="H138" s="95"/>
      <c r="I138" s="95"/>
      <c r="J138" s="95"/>
      <c r="K138" s="95"/>
      <c r="L138" s="95"/>
      <c r="M138" s="95"/>
      <c r="N138" s="95"/>
      <c r="O138" s="95"/>
      <c r="P138" s="95"/>
      <c r="Q138" s="95"/>
      <c r="R138" s="95"/>
      <c r="S138" s="95"/>
      <c r="T138" s="95"/>
      <c r="U138" s="95"/>
      <c r="V138" s="109"/>
      <c r="W138" s="109"/>
      <c r="X138" s="109"/>
      <c r="Y138" s="109"/>
      <c r="Z138" s="109"/>
      <c r="AA138" s="32"/>
      <c r="AB138" s="32">
        <f t="shared" si="35"/>
        <v>0</v>
      </c>
      <c r="AC138" s="80"/>
      <c r="AD138" s="80"/>
      <c r="AE138" s="104">
        <f t="shared" si="36"/>
        <v>0</v>
      </c>
      <c r="AF138" s="38"/>
      <c r="AG138" s="38"/>
      <c r="AH138" s="38"/>
    </row>
    <row r="139" spans="1:34" s="39" customFormat="1" ht="106.5" customHeight="1">
      <c r="A139" s="76"/>
      <c r="B139" s="192"/>
      <c r="C139" s="101"/>
      <c r="D139" s="101"/>
      <c r="E139" s="1" t="s">
        <v>615</v>
      </c>
      <c r="F139" s="80">
        <f t="shared" si="33"/>
        <v>0</v>
      </c>
      <c r="G139" s="80"/>
      <c r="H139" s="95"/>
      <c r="I139" s="95"/>
      <c r="J139" s="95"/>
      <c r="K139" s="95"/>
      <c r="L139" s="95"/>
      <c r="M139" s="95"/>
      <c r="N139" s="95"/>
      <c r="O139" s="95"/>
      <c r="P139" s="95"/>
      <c r="Q139" s="95"/>
      <c r="R139" s="95"/>
      <c r="S139" s="95"/>
      <c r="T139" s="95"/>
      <c r="U139" s="95"/>
      <c r="V139" s="109">
        <f>-237041-37633</f>
        <v>-274674</v>
      </c>
      <c r="W139" s="109"/>
      <c r="X139" s="109"/>
      <c r="Y139" s="109"/>
      <c r="Z139" s="109"/>
      <c r="AA139" s="32"/>
      <c r="AB139" s="32">
        <f t="shared" si="35"/>
        <v>-274674</v>
      </c>
      <c r="AC139" s="80"/>
      <c r="AD139" s="80"/>
      <c r="AE139" s="104">
        <f t="shared" si="36"/>
        <v>-274674</v>
      </c>
      <c r="AF139" s="64"/>
      <c r="AG139" s="64"/>
      <c r="AH139" s="64"/>
    </row>
    <row r="140" spans="1:34" s="39" customFormat="1" ht="41.25" customHeight="1">
      <c r="A140" s="76"/>
      <c r="B140" s="192"/>
      <c r="C140" s="101"/>
      <c r="D140" s="192"/>
      <c r="E140" s="1" t="s">
        <v>616</v>
      </c>
      <c r="F140" s="80">
        <f t="shared" si="33"/>
        <v>0</v>
      </c>
      <c r="G140" s="80"/>
      <c r="H140" s="95"/>
      <c r="I140" s="95"/>
      <c r="J140" s="95"/>
      <c r="K140" s="95"/>
      <c r="L140" s="95">
        <v>-63187</v>
      </c>
      <c r="M140" s="95"/>
      <c r="N140" s="95"/>
      <c r="O140" s="95">
        <f>SUM(P140:R140)</f>
        <v>0</v>
      </c>
      <c r="P140" s="95"/>
      <c r="Q140" s="95"/>
      <c r="R140" s="95"/>
      <c r="S140" s="95"/>
      <c r="T140" s="95"/>
      <c r="U140" s="95"/>
      <c r="V140" s="95"/>
      <c r="W140" s="95"/>
      <c r="X140" s="95"/>
      <c r="Y140" s="95"/>
      <c r="Z140" s="95"/>
      <c r="AA140" s="80"/>
      <c r="AB140" s="80">
        <f t="shared" si="35"/>
        <v>-63187</v>
      </c>
      <c r="AC140" s="80"/>
      <c r="AD140" s="80"/>
      <c r="AE140" s="104">
        <f t="shared" si="36"/>
        <v>-63187</v>
      </c>
      <c r="AF140" s="38"/>
      <c r="AG140" s="38"/>
      <c r="AH140" s="38"/>
    </row>
    <row r="141" spans="1:34" s="39" customFormat="1" ht="62.25" customHeight="1" hidden="1">
      <c r="A141" s="76"/>
      <c r="B141" s="192"/>
      <c r="C141" s="101"/>
      <c r="D141" s="192"/>
      <c r="E141" s="1" t="s">
        <v>739</v>
      </c>
      <c r="F141" s="80">
        <f t="shared" si="33"/>
        <v>0</v>
      </c>
      <c r="G141" s="80"/>
      <c r="H141" s="95"/>
      <c r="I141" s="95"/>
      <c r="J141" s="95"/>
      <c r="K141" s="95"/>
      <c r="L141" s="95"/>
      <c r="M141" s="95"/>
      <c r="N141" s="95"/>
      <c r="O141" s="95">
        <f>SUM(P141:R141)</f>
        <v>0</v>
      </c>
      <c r="P141" s="95"/>
      <c r="Q141" s="95"/>
      <c r="R141" s="95"/>
      <c r="S141" s="95"/>
      <c r="T141" s="95"/>
      <c r="U141" s="174"/>
      <c r="V141" s="95"/>
      <c r="W141" s="95"/>
      <c r="X141" s="95"/>
      <c r="Y141" s="95"/>
      <c r="Z141" s="95"/>
      <c r="AA141" s="80"/>
      <c r="AB141" s="80">
        <f t="shared" si="35"/>
        <v>0</v>
      </c>
      <c r="AC141" s="80"/>
      <c r="AD141" s="80"/>
      <c r="AE141" s="104">
        <f t="shared" si="36"/>
        <v>0</v>
      </c>
      <c r="AF141" s="38"/>
      <c r="AG141" s="38"/>
      <c r="AH141" s="38"/>
    </row>
    <row r="142" spans="1:34" s="189" customFormat="1" ht="63.75" customHeight="1">
      <c r="A142" s="76" t="s">
        <v>294</v>
      </c>
      <c r="B142" s="101" t="s">
        <v>33</v>
      </c>
      <c r="C142" s="101" t="s">
        <v>411</v>
      </c>
      <c r="D142" s="101" t="s">
        <v>296</v>
      </c>
      <c r="E142" s="116" t="s">
        <v>34</v>
      </c>
      <c r="F142" s="80">
        <f t="shared" si="33"/>
        <v>0</v>
      </c>
      <c r="G142" s="193">
        <f>G143</f>
        <v>0</v>
      </c>
      <c r="H142" s="193">
        <f aca="true" t="shared" si="47" ref="H142:P142">H143</f>
        <v>0</v>
      </c>
      <c r="I142" s="193">
        <f t="shared" si="47"/>
        <v>0</v>
      </c>
      <c r="J142" s="193">
        <f t="shared" si="47"/>
        <v>0</v>
      </c>
      <c r="K142" s="193">
        <f t="shared" si="47"/>
        <v>0</v>
      </c>
      <c r="L142" s="193">
        <f>L143</f>
        <v>0</v>
      </c>
      <c r="M142" s="193">
        <f t="shared" si="47"/>
        <v>0</v>
      </c>
      <c r="N142" s="193">
        <f t="shared" si="47"/>
        <v>0</v>
      </c>
      <c r="O142" s="174">
        <f>SUM(P142:R142)</f>
        <v>0</v>
      </c>
      <c r="P142" s="193">
        <f t="shared" si="47"/>
        <v>0</v>
      </c>
      <c r="Q142" s="193">
        <f aca="true" t="shared" si="48" ref="Q142:Y142">Q143+Q144</f>
        <v>0</v>
      </c>
      <c r="R142" s="193">
        <f t="shared" si="48"/>
        <v>0</v>
      </c>
      <c r="S142" s="193">
        <f t="shared" si="48"/>
        <v>0</v>
      </c>
      <c r="T142" s="193">
        <f t="shared" si="48"/>
        <v>0</v>
      </c>
      <c r="U142" s="193">
        <f t="shared" si="48"/>
        <v>0</v>
      </c>
      <c r="V142" s="193">
        <f t="shared" si="48"/>
        <v>0</v>
      </c>
      <c r="W142" s="193">
        <f t="shared" si="48"/>
        <v>0</v>
      </c>
      <c r="X142" s="193">
        <f t="shared" si="48"/>
        <v>0</v>
      </c>
      <c r="Y142" s="193">
        <f t="shared" si="48"/>
        <v>0</v>
      </c>
      <c r="Z142" s="193">
        <f>Z143+Z144</f>
        <v>-5000</v>
      </c>
      <c r="AA142" s="193">
        <f>AA143+AA144</f>
        <v>0</v>
      </c>
      <c r="AB142" s="193">
        <f t="shared" si="35"/>
        <v>-5000</v>
      </c>
      <c r="AC142" s="193"/>
      <c r="AD142" s="193"/>
      <c r="AE142" s="187">
        <f t="shared" si="36"/>
        <v>-5000</v>
      </c>
      <c r="AF142" s="194"/>
      <c r="AG142" s="194"/>
      <c r="AH142" s="194"/>
    </row>
    <row r="143" spans="1:34" s="39" customFormat="1" ht="51" customHeight="1" hidden="1">
      <c r="A143" s="140" t="s">
        <v>337</v>
      </c>
      <c r="B143" s="101"/>
      <c r="C143" s="101"/>
      <c r="D143" s="101"/>
      <c r="E143" s="108" t="s">
        <v>133</v>
      </c>
      <c r="F143" s="80">
        <f t="shared" si="33"/>
        <v>0</v>
      </c>
      <c r="G143" s="80"/>
      <c r="H143" s="80"/>
      <c r="I143" s="80"/>
      <c r="J143" s="80"/>
      <c r="K143" s="80"/>
      <c r="L143" s="80"/>
      <c r="M143" s="80"/>
      <c r="N143" s="80"/>
      <c r="O143" s="95">
        <f>SUM(P143:R143)</f>
        <v>0</v>
      </c>
      <c r="P143" s="80"/>
      <c r="Q143" s="80"/>
      <c r="R143" s="80"/>
      <c r="S143" s="80"/>
      <c r="T143" s="80"/>
      <c r="U143" s="80"/>
      <c r="V143" s="80"/>
      <c r="W143" s="80"/>
      <c r="X143" s="80"/>
      <c r="Y143" s="80"/>
      <c r="Z143" s="80"/>
      <c r="AA143" s="80"/>
      <c r="AB143" s="80">
        <f t="shared" si="35"/>
        <v>0</v>
      </c>
      <c r="AC143" s="80"/>
      <c r="AD143" s="80"/>
      <c r="AE143" s="104">
        <f t="shared" si="36"/>
        <v>0</v>
      </c>
      <c r="AF143" s="38"/>
      <c r="AG143" s="38"/>
      <c r="AH143" s="38"/>
    </row>
    <row r="144" spans="1:34" s="39" customFormat="1" ht="69" customHeight="1">
      <c r="A144" s="140"/>
      <c r="B144" s="101"/>
      <c r="C144" s="101"/>
      <c r="D144" s="101"/>
      <c r="E144" s="108" t="s">
        <v>677</v>
      </c>
      <c r="F144" s="80"/>
      <c r="G144" s="80"/>
      <c r="H144" s="80"/>
      <c r="I144" s="80"/>
      <c r="J144" s="80"/>
      <c r="K144" s="80"/>
      <c r="L144" s="80"/>
      <c r="M144" s="80"/>
      <c r="N144" s="80"/>
      <c r="O144" s="95"/>
      <c r="P144" s="80"/>
      <c r="Q144" s="80"/>
      <c r="R144" s="80"/>
      <c r="S144" s="80"/>
      <c r="T144" s="80"/>
      <c r="U144" s="80"/>
      <c r="V144" s="80"/>
      <c r="W144" s="80"/>
      <c r="X144" s="80"/>
      <c r="Y144" s="80"/>
      <c r="Z144" s="80">
        <v>-5000</v>
      </c>
      <c r="AA144" s="80"/>
      <c r="AB144" s="80">
        <f>SUM(G144:AA144)-O144</f>
        <v>-5000</v>
      </c>
      <c r="AC144" s="80"/>
      <c r="AD144" s="80"/>
      <c r="AE144" s="104">
        <f>SUM(AB144:AD144)</f>
        <v>-5000</v>
      </c>
      <c r="AF144" s="123"/>
      <c r="AG144" s="123"/>
      <c r="AH144" s="123"/>
    </row>
    <row r="145" spans="1:34" s="189" customFormat="1" ht="50.25" customHeight="1">
      <c r="A145" s="76"/>
      <c r="B145" s="101" t="s">
        <v>35</v>
      </c>
      <c r="C145" s="101" t="s">
        <v>36</v>
      </c>
      <c r="D145" s="101" t="s">
        <v>291</v>
      </c>
      <c r="E145" s="116" t="s">
        <v>37</v>
      </c>
      <c r="F145" s="80">
        <f t="shared" si="33"/>
        <v>0</v>
      </c>
      <c r="G145" s="193">
        <f>G146</f>
        <v>0</v>
      </c>
      <c r="H145" s="193">
        <f aca="true" t="shared" si="49" ref="H145:AA145">H146</f>
        <v>0</v>
      </c>
      <c r="I145" s="193">
        <f t="shared" si="49"/>
        <v>0</v>
      </c>
      <c r="J145" s="193">
        <f t="shared" si="49"/>
        <v>0</v>
      </c>
      <c r="K145" s="193">
        <f t="shared" si="49"/>
        <v>0</v>
      </c>
      <c r="L145" s="193">
        <f t="shared" si="49"/>
        <v>0</v>
      </c>
      <c r="M145" s="193">
        <f t="shared" si="49"/>
        <v>0</v>
      </c>
      <c r="N145" s="193">
        <f t="shared" si="49"/>
        <v>0</v>
      </c>
      <c r="O145" s="174">
        <f aca="true" t="shared" si="50" ref="O145:O151">SUM(P145:R145)</f>
        <v>0</v>
      </c>
      <c r="P145" s="193">
        <f t="shared" si="49"/>
        <v>0</v>
      </c>
      <c r="Q145" s="193">
        <f t="shared" si="49"/>
        <v>0</v>
      </c>
      <c r="R145" s="193">
        <f t="shared" si="49"/>
        <v>0</v>
      </c>
      <c r="S145" s="193">
        <f t="shared" si="49"/>
        <v>0</v>
      </c>
      <c r="T145" s="193">
        <f t="shared" si="49"/>
        <v>0</v>
      </c>
      <c r="U145" s="193">
        <f t="shared" si="49"/>
        <v>0</v>
      </c>
      <c r="V145" s="193">
        <f t="shared" si="49"/>
        <v>0</v>
      </c>
      <c r="W145" s="193">
        <f t="shared" si="49"/>
        <v>0</v>
      </c>
      <c r="X145" s="193">
        <f t="shared" si="49"/>
        <v>0</v>
      </c>
      <c r="Y145" s="193">
        <f t="shared" si="49"/>
        <v>0</v>
      </c>
      <c r="Z145" s="193">
        <f t="shared" si="49"/>
        <v>-82080</v>
      </c>
      <c r="AA145" s="193">
        <f t="shared" si="49"/>
        <v>0</v>
      </c>
      <c r="AB145" s="193">
        <f t="shared" si="35"/>
        <v>-82080</v>
      </c>
      <c r="AC145" s="193">
        <f>SUM(AC146:AC150)</f>
        <v>0</v>
      </c>
      <c r="AD145" s="193">
        <f>SUM(AD146:AD150)</f>
        <v>0</v>
      </c>
      <c r="AE145" s="187">
        <f t="shared" si="36"/>
        <v>-82080</v>
      </c>
      <c r="AF145" s="194"/>
      <c r="AG145" s="194"/>
      <c r="AH145" s="194"/>
    </row>
    <row r="146" spans="1:34" s="39" customFormat="1" ht="48.75" customHeight="1">
      <c r="A146" s="140" t="s">
        <v>297</v>
      </c>
      <c r="B146" s="107"/>
      <c r="C146" s="107"/>
      <c r="D146" s="107"/>
      <c r="E146" s="1" t="s">
        <v>133</v>
      </c>
      <c r="F146" s="80">
        <f t="shared" si="33"/>
        <v>0</v>
      </c>
      <c r="G146" s="80"/>
      <c r="H146" s="80"/>
      <c r="I146" s="80"/>
      <c r="J146" s="80"/>
      <c r="K146" s="80"/>
      <c r="L146" s="80"/>
      <c r="M146" s="80"/>
      <c r="N146" s="80"/>
      <c r="O146" s="95">
        <f t="shared" si="50"/>
        <v>0</v>
      </c>
      <c r="P146" s="80"/>
      <c r="Q146" s="80"/>
      <c r="R146" s="80"/>
      <c r="S146" s="80"/>
      <c r="T146" s="80"/>
      <c r="U146" s="80"/>
      <c r="V146" s="80"/>
      <c r="W146" s="80"/>
      <c r="X146" s="80"/>
      <c r="Y146" s="80"/>
      <c r="Z146" s="80">
        <f>-77400-4680</f>
        <v>-82080</v>
      </c>
      <c r="AA146" s="80"/>
      <c r="AB146" s="80">
        <f t="shared" si="35"/>
        <v>-82080</v>
      </c>
      <c r="AC146" s="80"/>
      <c r="AD146" s="80"/>
      <c r="AE146" s="104">
        <f t="shared" si="36"/>
        <v>-82080</v>
      </c>
      <c r="AF146" s="38"/>
      <c r="AG146" s="38"/>
      <c r="AH146" s="38"/>
    </row>
    <row r="147" spans="1:34" s="189" customFormat="1" ht="63" customHeight="1">
      <c r="A147" s="76" t="s">
        <v>382</v>
      </c>
      <c r="B147" s="101" t="s">
        <v>134</v>
      </c>
      <c r="C147" s="101" t="s">
        <v>135</v>
      </c>
      <c r="D147" s="101" t="s">
        <v>291</v>
      </c>
      <c r="E147" s="102" t="s">
        <v>136</v>
      </c>
      <c r="F147" s="80">
        <f t="shared" si="33"/>
        <v>0</v>
      </c>
      <c r="G147" s="193">
        <f>G148</f>
        <v>0</v>
      </c>
      <c r="H147" s="193">
        <f aca="true" t="shared" si="51" ref="H147:AA147">H148</f>
        <v>0</v>
      </c>
      <c r="I147" s="193">
        <f t="shared" si="51"/>
        <v>0</v>
      </c>
      <c r="J147" s="193">
        <f t="shared" si="51"/>
        <v>0</v>
      </c>
      <c r="K147" s="193">
        <f t="shared" si="51"/>
        <v>0</v>
      </c>
      <c r="L147" s="193">
        <f t="shared" si="51"/>
        <v>0</v>
      </c>
      <c r="M147" s="193">
        <f t="shared" si="51"/>
        <v>0</v>
      </c>
      <c r="N147" s="193">
        <f t="shared" si="51"/>
        <v>0</v>
      </c>
      <c r="O147" s="174">
        <f t="shared" si="50"/>
        <v>0</v>
      </c>
      <c r="P147" s="193">
        <f t="shared" si="51"/>
        <v>0</v>
      </c>
      <c r="Q147" s="193">
        <f t="shared" si="51"/>
        <v>0</v>
      </c>
      <c r="R147" s="193">
        <f t="shared" si="51"/>
        <v>0</v>
      </c>
      <c r="S147" s="193">
        <f t="shared" si="51"/>
        <v>0</v>
      </c>
      <c r="T147" s="193">
        <f t="shared" si="51"/>
        <v>0</v>
      </c>
      <c r="U147" s="193">
        <f t="shared" si="51"/>
        <v>0</v>
      </c>
      <c r="V147" s="193">
        <f t="shared" si="51"/>
        <v>0</v>
      </c>
      <c r="W147" s="193">
        <f t="shared" si="51"/>
        <v>0</v>
      </c>
      <c r="X147" s="193">
        <f t="shared" si="51"/>
        <v>0</v>
      </c>
      <c r="Y147" s="193">
        <f t="shared" si="51"/>
        <v>0</v>
      </c>
      <c r="Z147" s="198">
        <f>SUM(Z148:Z149)</f>
        <v>-1288170</v>
      </c>
      <c r="AA147" s="198">
        <f t="shared" si="51"/>
        <v>0</v>
      </c>
      <c r="AB147" s="198">
        <f t="shared" si="35"/>
        <v>-1288170</v>
      </c>
      <c r="AC147" s="193"/>
      <c r="AD147" s="193"/>
      <c r="AE147" s="187">
        <f t="shared" si="36"/>
        <v>-1288170</v>
      </c>
      <c r="AF147" s="194"/>
      <c r="AG147" s="194"/>
      <c r="AH147" s="194"/>
    </row>
    <row r="148" spans="1:34" s="39" customFormat="1" ht="45.75" customHeight="1">
      <c r="A148" s="140" t="s">
        <v>304</v>
      </c>
      <c r="B148" s="107"/>
      <c r="C148" s="107"/>
      <c r="D148" s="107"/>
      <c r="E148" s="1" t="s">
        <v>133</v>
      </c>
      <c r="F148" s="80">
        <f t="shared" si="33"/>
        <v>0</v>
      </c>
      <c r="G148" s="80"/>
      <c r="H148" s="80"/>
      <c r="I148" s="80"/>
      <c r="J148" s="80"/>
      <c r="K148" s="80"/>
      <c r="L148" s="80"/>
      <c r="M148" s="80"/>
      <c r="N148" s="80"/>
      <c r="O148" s="95">
        <f t="shared" si="50"/>
        <v>0</v>
      </c>
      <c r="P148" s="80"/>
      <c r="Q148" s="80"/>
      <c r="R148" s="80"/>
      <c r="S148" s="80"/>
      <c r="T148" s="80"/>
      <c r="U148" s="80"/>
      <c r="V148" s="80"/>
      <c r="W148" s="80"/>
      <c r="X148" s="80"/>
      <c r="Y148" s="80"/>
      <c r="Z148" s="32">
        <v>-1288170</v>
      </c>
      <c r="AA148" s="32"/>
      <c r="AB148" s="32">
        <f t="shared" si="35"/>
        <v>-1288170</v>
      </c>
      <c r="AC148" s="80"/>
      <c r="AD148" s="80"/>
      <c r="AE148" s="104">
        <f t="shared" si="36"/>
        <v>-1288170</v>
      </c>
      <c r="AF148" s="138"/>
      <c r="AG148" s="138"/>
      <c r="AH148" s="138"/>
    </row>
    <row r="149" spans="1:34" s="39" customFormat="1" ht="87" customHeight="1" hidden="1">
      <c r="A149" s="140"/>
      <c r="B149" s="107"/>
      <c r="C149" s="107"/>
      <c r="D149" s="107"/>
      <c r="E149" s="1" t="s">
        <v>677</v>
      </c>
      <c r="F149" s="80"/>
      <c r="G149" s="80"/>
      <c r="H149" s="80"/>
      <c r="I149" s="80"/>
      <c r="J149" s="80"/>
      <c r="K149" s="80"/>
      <c r="L149" s="80"/>
      <c r="M149" s="80"/>
      <c r="N149" s="80"/>
      <c r="O149" s="95"/>
      <c r="P149" s="80"/>
      <c r="Q149" s="80"/>
      <c r="R149" s="80"/>
      <c r="S149" s="80"/>
      <c r="T149" s="80"/>
      <c r="U149" s="80"/>
      <c r="V149" s="80"/>
      <c r="W149" s="80"/>
      <c r="X149" s="80"/>
      <c r="Y149" s="80"/>
      <c r="Z149" s="32"/>
      <c r="AA149" s="32"/>
      <c r="AB149" s="32">
        <f>SUM(G149:AA149)-O149</f>
        <v>0</v>
      </c>
      <c r="AC149" s="80"/>
      <c r="AD149" s="80"/>
      <c r="AE149" s="104">
        <f>SUM(AB149:AD149)</f>
        <v>0</v>
      </c>
      <c r="AF149" s="138"/>
      <c r="AG149" s="138"/>
      <c r="AH149" s="138"/>
    </row>
    <row r="150" spans="1:34" s="189" customFormat="1" ht="76.5" customHeight="1">
      <c r="A150" s="76" t="s">
        <v>331</v>
      </c>
      <c r="B150" s="101" t="s">
        <v>38</v>
      </c>
      <c r="C150" s="101" t="s">
        <v>383</v>
      </c>
      <c r="D150" s="101" t="s">
        <v>291</v>
      </c>
      <c r="E150" s="102" t="s">
        <v>39</v>
      </c>
      <c r="F150" s="80">
        <f t="shared" si="33"/>
        <v>0</v>
      </c>
      <c r="G150" s="193">
        <f>G151</f>
        <v>0</v>
      </c>
      <c r="H150" s="193">
        <f aca="true" t="shared" si="52" ref="H150:V150">H151</f>
        <v>0</v>
      </c>
      <c r="I150" s="193">
        <f t="shared" si="52"/>
        <v>0</v>
      </c>
      <c r="J150" s="193">
        <f t="shared" si="52"/>
        <v>0</v>
      </c>
      <c r="K150" s="193">
        <f t="shared" si="52"/>
        <v>0</v>
      </c>
      <c r="L150" s="193">
        <f t="shared" si="52"/>
        <v>0</v>
      </c>
      <c r="M150" s="193">
        <f t="shared" si="52"/>
        <v>0</v>
      </c>
      <c r="N150" s="193">
        <f t="shared" si="52"/>
        <v>0</v>
      </c>
      <c r="O150" s="174">
        <f t="shared" si="50"/>
        <v>0</v>
      </c>
      <c r="P150" s="193">
        <f t="shared" si="52"/>
        <v>0</v>
      </c>
      <c r="Q150" s="193">
        <f t="shared" si="52"/>
        <v>0</v>
      </c>
      <c r="R150" s="193">
        <f t="shared" si="52"/>
        <v>0</v>
      </c>
      <c r="S150" s="193">
        <f t="shared" si="52"/>
        <v>0</v>
      </c>
      <c r="T150" s="193">
        <f t="shared" si="52"/>
        <v>0</v>
      </c>
      <c r="U150" s="193">
        <f t="shared" si="52"/>
        <v>0</v>
      </c>
      <c r="V150" s="193">
        <f t="shared" si="52"/>
        <v>0</v>
      </c>
      <c r="W150" s="193">
        <f>W151</f>
        <v>0</v>
      </c>
      <c r="X150" s="193">
        <f>X151</f>
        <v>0</v>
      </c>
      <c r="Y150" s="193">
        <f>Y151</f>
        <v>0</v>
      </c>
      <c r="Z150" s="193">
        <f>Z151</f>
        <v>-80300</v>
      </c>
      <c r="AA150" s="193">
        <f>AA151</f>
        <v>0</v>
      </c>
      <c r="AB150" s="193">
        <f t="shared" si="35"/>
        <v>-80300</v>
      </c>
      <c r="AC150" s="193"/>
      <c r="AD150" s="193"/>
      <c r="AE150" s="187">
        <f t="shared" si="36"/>
        <v>-80300</v>
      </c>
      <c r="AF150" s="194"/>
      <c r="AG150" s="194"/>
      <c r="AH150" s="194"/>
    </row>
    <row r="151" spans="1:34" s="39" customFormat="1" ht="39.75" customHeight="1">
      <c r="A151" s="76"/>
      <c r="B151" s="107"/>
      <c r="C151" s="107"/>
      <c r="D151" s="107"/>
      <c r="E151" s="1" t="s">
        <v>133</v>
      </c>
      <c r="F151" s="80">
        <f t="shared" si="33"/>
        <v>0</v>
      </c>
      <c r="G151" s="80"/>
      <c r="H151" s="80"/>
      <c r="I151" s="80"/>
      <c r="J151" s="80"/>
      <c r="K151" s="80"/>
      <c r="L151" s="80"/>
      <c r="M151" s="80"/>
      <c r="N151" s="80"/>
      <c r="O151" s="95">
        <f t="shared" si="50"/>
        <v>0</v>
      </c>
      <c r="P151" s="80"/>
      <c r="Q151" s="80"/>
      <c r="R151" s="80"/>
      <c r="S151" s="80"/>
      <c r="T151" s="80"/>
      <c r="U151" s="80"/>
      <c r="V151" s="80"/>
      <c r="W151" s="80"/>
      <c r="X151" s="80"/>
      <c r="Y151" s="80"/>
      <c r="Z151" s="80">
        <v>-80300</v>
      </c>
      <c r="AA151" s="80"/>
      <c r="AB151" s="193">
        <f>SUM(G151:AA151)-O151</f>
        <v>-80300</v>
      </c>
      <c r="AC151" s="193"/>
      <c r="AD151" s="193"/>
      <c r="AE151" s="187">
        <f>SUM(AB151:AD151)</f>
        <v>-80300</v>
      </c>
      <c r="AF151" s="38"/>
      <c r="AG151" s="38"/>
      <c r="AH151" s="38"/>
    </row>
    <row r="152" spans="1:34" s="39" customFormat="1" ht="84.75" customHeight="1" hidden="1">
      <c r="A152" s="140" t="s">
        <v>330</v>
      </c>
      <c r="B152" s="101" t="s">
        <v>40</v>
      </c>
      <c r="C152" s="101" t="s">
        <v>384</v>
      </c>
      <c r="D152" s="101" t="s">
        <v>296</v>
      </c>
      <c r="E152" s="116" t="s">
        <v>740</v>
      </c>
      <c r="F152" s="80">
        <f t="shared" si="33"/>
        <v>0</v>
      </c>
      <c r="G152" s="103"/>
      <c r="H152" s="110"/>
      <c r="I152" s="110"/>
      <c r="J152" s="110"/>
      <c r="K152" s="110"/>
      <c r="L152" s="110"/>
      <c r="M152" s="110"/>
      <c r="N152" s="110"/>
      <c r="O152" s="95">
        <f>SUM(P152:R152)</f>
        <v>0</v>
      </c>
      <c r="P152" s="110"/>
      <c r="Q152" s="110"/>
      <c r="R152" s="110"/>
      <c r="S152" s="110"/>
      <c r="T152" s="110"/>
      <c r="U152" s="110"/>
      <c r="V152" s="110"/>
      <c r="W152" s="110"/>
      <c r="X152" s="110"/>
      <c r="Y152" s="110"/>
      <c r="Z152" s="110"/>
      <c r="AA152" s="103"/>
      <c r="AB152" s="103">
        <f aca="true" t="shared" si="53" ref="AB152:AB188">SUM(G152:AA152)-O152</f>
        <v>0</v>
      </c>
      <c r="AC152" s="103"/>
      <c r="AD152" s="103"/>
      <c r="AE152" s="104">
        <f aca="true" t="shared" si="54" ref="AE152:AE188">SUM(AB152:AD152)</f>
        <v>0</v>
      </c>
      <c r="AF152" s="38"/>
      <c r="AG152" s="38"/>
      <c r="AH152" s="38"/>
    </row>
    <row r="153" spans="1:34" s="189" customFormat="1" ht="84.75" customHeight="1">
      <c r="A153" s="76" t="s">
        <v>309</v>
      </c>
      <c r="B153" s="101" t="s">
        <v>41</v>
      </c>
      <c r="C153" s="101" t="s">
        <v>386</v>
      </c>
      <c r="D153" s="101" t="s">
        <v>266</v>
      </c>
      <c r="E153" s="116" t="s">
        <v>42</v>
      </c>
      <c r="F153" s="80">
        <f t="shared" si="33"/>
        <v>32200</v>
      </c>
      <c r="G153" s="172">
        <f aca="true" t="shared" si="55" ref="G153:AA153">SUM(G154:G156)</f>
        <v>0</v>
      </c>
      <c r="H153" s="172">
        <f t="shared" si="55"/>
        <v>32200</v>
      </c>
      <c r="I153" s="172">
        <f t="shared" si="55"/>
        <v>0</v>
      </c>
      <c r="J153" s="172">
        <f t="shared" si="55"/>
        <v>0</v>
      </c>
      <c r="K153" s="172">
        <f t="shared" si="55"/>
        <v>-32200</v>
      </c>
      <c r="L153" s="172">
        <f t="shared" si="55"/>
        <v>0</v>
      </c>
      <c r="M153" s="172">
        <f t="shared" si="55"/>
        <v>0</v>
      </c>
      <c r="N153" s="172">
        <f t="shared" si="55"/>
        <v>0</v>
      </c>
      <c r="O153" s="193">
        <f t="shared" si="55"/>
        <v>0</v>
      </c>
      <c r="P153" s="172">
        <f t="shared" si="55"/>
        <v>0</v>
      </c>
      <c r="Q153" s="172">
        <f t="shared" si="55"/>
        <v>0</v>
      </c>
      <c r="R153" s="172">
        <f t="shared" si="55"/>
        <v>0</v>
      </c>
      <c r="S153" s="172">
        <f t="shared" si="55"/>
        <v>0</v>
      </c>
      <c r="T153" s="172">
        <f t="shared" si="55"/>
        <v>0</v>
      </c>
      <c r="U153" s="172">
        <f t="shared" si="55"/>
        <v>0</v>
      </c>
      <c r="V153" s="172">
        <f t="shared" si="55"/>
        <v>0</v>
      </c>
      <c r="W153" s="172">
        <f t="shared" si="55"/>
        <v>0</v>
      </c>
      <c r="X153" s="172">
        <f t="shared" si="55"/>
        <v>0</v>
      </c>
      <c r="Y153" s="172">
        <f t="shared" si="55"/>
        <v>0</v>
      </c>
      <c r="Z153" s="172">
        <f t="shared" si="55"/>
        <v>0</v>
      </c>
      <c r="AA153" s="172">
        <f t="shared" si="55"/>
        <v>0</v>
      </c>
      <c r="AB153" s="172">
        <f t="shared" si="53"/>
        <v>0</v>
      </c>
      <c r="AC153" s="172"/>
      <c r="AD153" s="172"/>
      <c r="AE153" s="187">
        <f t="shared" si="54"/>
        <v>0</v>
      </c>
      <c r="AF153" s="194"/>
      <c r="AG153" s="194"/>
      <c r="AH153" s="194"/>
    </row>
    <row r="154" spans="1:34" s="39" customFormat="1" ht="77.25" customHeight="1">
      <c r="A154" s="76" t="s">
        <v>306</v>
      </c>
      <c r="B154" s="107"/>
      <c r="C154" s="107"/>
      <c r="D154" s="107"/>
      <c r="E154" s="1" t="s">
        <v>432</v>
      </c>
      <c r="F154" s="80">
        <f t="shared" si="33"/>
        <v>32200</v>
      </c>
      <c r="G154" s="103"/>
      <c r="H154" s="110">
        <v>32200</v>
      </c>
      <c r="I154" s="110"/>
      <c r="J154" s="110"/>
      <c r="K154" s="110">
        <v>-32200</v>
      </c>
      <c r="L154" s="110"/>
      <c r="M154" s="110"/>
      <c r="N154" s="110"/>
      <c r="O154" s="95"/>
      <c r="P154" s="110"/>
      <c r="Q154" s="110"/>
      <c r="R154" s="110"/>
      <c r="S154" s="110"/>
      <c r="T154" s="110"/>
      <c r="U154" s="110"/>
      <c r="V154" s="110"/>
      <c r="W154" s="110"/>
      <c r="X154" s="110"/>
      <c r="Y154" s="110"/>
      <c r="Z154" s="110"/>
      <c r="AA154" s="103"/>
      <c r="AB154" s="172">
        <f>SUM(G154:AA154)-O154</f>
        <v>0</v>
      </c>
      <c r="AC154" s="172"/>
      <c r="AD154" s="172"/>
      <c r="AE154" s="187">
        <f>SUM(AB154:AD154)</f>
        <v>0</v>
      </c>
      <c r="AF154" s="201"/>
      <c r="AG154" s="201"/>
      <c r="AH154" s="201"/>
    </row>
    <row r="155" spans="1:34" s="39" customFormat="1" ht="76.5" customHeight="1" hidden="1">
      <c r="A155" s="76"/>
      <c r="B155" s="107"/>
      <c r="C155" s="107"/>
      <c r="D155" s="107"/>
      <c r="E155" s="1" t="s">
        <v>227</v>
      </c>
      <c r="F155" s="80">
        <f t="shared" si="33"/>
        <v>0</v>
      </c>
      <c r="G155" s="103"/>
      <c r="H155" s="110"/>
      <c r="I155" s="110"/>
      <c r="J155" s="110"/>
      <c r="K155" s="110"/>
      <c r="L155" s="110"/>
      <c r="M155" s="110"/>
      <c r="N155" s="110"/>
      <c r="O155" s="95"/>
      <c r="P155" s="110"/>
      <c r="Q155" s="110"/>
      <c r="R155" s="110"/>
      <c r="S155" s="110"/>
      <c r="T155" s="110"/>
      <c r="U155" s="110"/>
      <c r="V155" s="110"/>
      <c r="W155" s="110"/>
      <c r="X155" s="110"/>
      <c r="Y155" s="110"/>
      <c r="Z155" s="110"/>
      <c r="AA155" s="103"/>
      <c r="AB155" s="172">
        <f>SUM(G155:AA155)-O155</f>
        <v>0</v>
      </c>
      <c r="AC155" s="172"/>
      <c r="AD155" s="172"/>
      <c r="AE155" s="187">
        <f>SUM(AB155:AD155)</f>
        <v>0</v>
      </c>
      <c r="AF155" s="201"/>
      <c r="AG155" s="201"/>
      <c r="AH155" s="201"/>
    </row>
    <row r="156" spans="1:34" s="39" customFormat="1" ht="61.5" customHeight="1" hidden="1">
      <c r="A156" s="76"/>
      <c r="B156" s="107"/>
      <c r="C156" s="107"/>
      <c r="D156" s="107"/>
      <c r="E156" s="1" t="s">
        <v>479</v>
      </c>
      <c r="F156" s="80">
        <f t="shared" si="33"/>
        <v>0</v>
      </c>
      <c r="G156" s="103"/>
      <c r="H156" s="110"/>
      <c r="I156" s="110"/>
      <c r="J156" s="110"/>
      <c r="K156" s="110"/>
      <c r="L156" s="110"/>
      <c r="M156" s="110"/>
      <c r="N156" s="110"/>
      <c r="O156" s="95"/>
      <c r="P156" s="110"/>
      <c r="Q156" s="110"/>
      <c r="R156" s="110"/>
      <c r="S156" s="110"/>
      <c r="T156" s="110"/>
      <c r="U156" s="110"/>
      <c r="V156" s="110"/>
      <c r="W156" s="110"/>
      <c r="X156" s="110"/>
      <c r="Y156" s="110"/>
      <c r="Z156" s="110"/>
      <c r="AA156" s="103"/>
      <c r="AB156" s="103">
        <f t="shared" si="53"/>
        <v>0</v>
      </c>
      <c r="AC156" s="103"/>
      <c r="AD156" s="103"/>
      <c r="AE156" s="104">
        <f t="shared" si="54"/>
        <v>0</v>
      </c>
      <c r="AF156" s="201"/>
      <c r="AG156" s="201"/>
      <c r="AH156" s="201"/>
    </row>
    <row r="157" spans="1:31" s="189" customFormat="1" ht="48.75" customHeight="1">
      <c r="A157" s="76" t="s">
        <v>385</v>
      </c>
      <c r="B157" s="101" t="s">
        <v>43</v>
      </c>
      <c r="C157" s="101" t="s">
        <v>44</v>
      </c>
      <c r="D157" s="101" t="s">
        <v>275</v>
      </c>
      <c r="E157" s="116" t="s">
        <v>45</v>
      </c>
      <c r="F157" s="80">
        <f t="shared" si="33"/>
        <v>0</v>
      </c>
      <c r="G157" s="172">
        <f>SUM(G158:G160)</f>
        <v>0</v>
      </c>
      <c r="H157" s="172">
        <f aca="true" t="shared" si="56" ref="H157:AA157">SUM(H158:H160)</f>
        <v>0</v>
      </c>
      <c r="I157" s="172">
        <f t="shared" si="56"/>
        <v>6400</v>
      </c>
      <c r="J157" s="172">
        <f t="shared" si="56"/>
        <v>0</v>
      </c>
      <c r="K157" s="172">
        <f t="shared" si="56"/>
        <v>0</v>
      </c>
      <c r="L157" s="172">
        <f t="shared" si="56"/>
        <v>0</v>
      </c>
      <c r="M157" s="172">
        <f t="shared" si="56"/>
        <v>-6400</v>
      </c>
      <c r="N157" s="172">
        <f t="shared" si="56"/>
        <v>0</v>
      </c>
      <c r="O157" s="193">
        <f t="shared" si="56"/>
        <v>0</v>
      </c>
      <c r="P157" s="172">
        <f t="shared" si="56"/>
        <v>0</v>
      </c>
      <c r="Q157" s="172">
        <f t="shared" si="56"/>
        <v>0</v>
      </c>
      <c r="R157" s="172">
        <f t="shared" si="56"/>
        <v>0</v>
      </c>
      <c r="S157" s="172">
        <f t="shared" si="56"/>
        <v>0</v>
      </c>
      <c r="T157" s="172">
        <f t="shared" si="56"/>
        <v>0</v>
      </c>
      <c r="U157" s="172">
        <f t="shared" si="56"/>
        <v>0</v>
      </c>
      <c r="V157" s="172">
        <f t="shared" si="56"/>
        <v>0</v>
      </c>
      <c r="W157" s="172">
        <f t="shared" si="56"/>
        <v>0</v>
      </c>
      <c r="X157" s="172">
        <f t="shared" si="56"/>
        <v>0</v>
      </c>
      <c r="Y157" s="172">
        <f t="shared" si="56"/>
        <v>0</v>
      </c>
      <c r="Z157" s="172">
        <f t="shared" si="56"/>
        <v>0</v>
      </c>
      <c r="AA157" s="172">
        <f t="shared" si="56"/>
        <v>0</v>
      </c>
      <c r="AB157" s="172">
        <f t="shared" si="53"/>
        <v>0</v>
      </c>
      <c r="AC157" s="172"/>
      <c r="AD157" s="172"/>
      <c r="AE157" s="187">
        <f t="shared" si="54"/>
        <v>0</v>
      </c>
    </row>
    <row r="158" spans="1:34" s="39" customFormat="1" ht="48" customHeight="1">
      <c r="A158" s="76"/>
      <c r="B158" s="107"/>
      <c r="C158" s="107"/>
      <c r="D158" s="107"/>
      <c r="E158" s="1" t="s">
        <v>46</v>
      </c>
      <c r="F158" s="80">
        <f t="shared" si="33"/>
        <v>0</v>
      </c>
      <c r="G158" s="103"/>
      <c r="H158" s="110"/>
      <c r="I158" s="110">
        <v>6400</v>
      </c>
      <c r="J158" s="110"/>
      <c r="K158" s="110"/>
      <c r="L158" s="110"/>
      <c r="M158" s="110">
        <v>-6400</v>
      </c>
      <c r="N158" s="110"/>
      <c r="O158" s="95"/>
      <c r="P158" s="110"/>
      <c r="Q158" s="110"/>
      <c r="R158" s="110"/>
      <c r="S158" s="110"/>
      <c r="T158" s="110"/>
      <c r="U158" s="110"/>
      <c r="V158" s="110"/>
      <c r="W158" s="110"/>
      <c r="X158" s="110"/>
      <c r="Y158" s="110"/>
      <c r="Z158" s="110"/>
      <c r="AA158" s="110"/>
      <c r="AB158" s="172">
        <f>SUM(G158:AA158)-O158</f>
        <v>0</v>
      </c>
      <c r="AC158" s="172"/>
      <c r="AD158" s="172"/>
      <c r="AE158" s="187">
        <f>SUM(AB158:AD158)</f>
        <v>0</v>
      </c>
      <c r="AF158" s="201"/>
      <c r="AG158" s="201"/>
      <c r="AH158" s="201"/>
    </row>
    <row r="159" spans="1:34" s="39" customFormat="1" ht="86.25" customHeight="1" hidden="1">
      <c r="A159" s="76"/>
      <c r="B159" s="107"/>
      <c r="C159" s="107"/>
      <c r="D159" s="107"/>
      <c r="E159" s="1" t="s">
        <v>638</v>
      </c>
      <c r="F159" s="80"/>
      <c r="G159" s="103"/>
      <c r="H159" s="110"/>
      <c r="I159" s="110"/>
      <c r="J159" s="110"/>
      <c r="K159" s="110"/>
      <c r="L159" s="110"/>
      <c r="M159" s="110"/>
      <c r="N159" s="110"/>
      <c r="O159" s="95"/>
      <c r="P159" s="110"/>
      <c r="Q159" s="110"/>
      <c r="R159" s="110"/>
      <c r="S159" s="110"/>
      <c r="T159" s="110"/>
      <c r="U159" s="110"/>
      <c r="V159" s="110"/>
      <c r="W159" s="110"/>
      <c r="X159" s="110"/>
      <c r="Y159" s="110"/>
      <c r="Z159" s="110"/>
      <c r="AA159" s="110"/>
      <c r="AB159" s="172">
        <f>SUM(G159:AA159)-O159</f>
        <v>0</v>
      </c>
      <c r="AC159" s="172"/>
      <c r="AD159" s="172"/>
      <c r="AE159" s="187">
        <f>SUM(AB159:AD159)</f>
        <v>0</v>
      </c>
      <c r="AF159" s="201"/>
      <c r="AG159" s="201"/>
      <c r="AH159" s="201"/>
    </row>
    <row r="160" spans="1:34" s="39" customFormat="1" ht="80.25" customHeight="1" hidden="1">
      <c r="A160" s="76"/>
      <c r="B160" s="107"/>
      <c r="C160" s="107"/>
      <c r="D160" s="107"/>
      <c r="E160" s="1" t="s">
        <v>477</v>
      </c>
      <c r="F160" s="80">
        <f t="shared" si="33"/>
        <v>0</v>
      </c>
      <c r="G160" s="103"/>
      <c r="H160" s="110"/>
      <c r="I160" s="110"/>
      <c r="J160" s="110"/>
      <c r="K160" s="110"/>
      <c r="L160" s="110"/>
      <c r="M160" s="110"/>
      <c r="N160" s="110"/>
      <c r="O160" s="95"/>
      <c r="P160" s="110"/>
      <c r="Q160" s="110"/>
      <c r="R160" s="110"/>
      <c r="S160" s="110"/>
      <c r="T160" s="110"/>
      <c r="U160" s="110"/>
      <c r="V160" s="110"/>
      <c r="W160" s="110"/>
      <c r="X160" s="110"/>
      <c r="Y160" s="110"/>
      <c r="Z160" s="110"/>
      <c r="AA160" s="103"/>
      <c r="AB160" s="103">
        <f t="shared" si="53"/>
        <v>0</v>
      </c>
      <c r="AC160" s="103">
        <f>AC165</f>
        <v>0</v>
      </c>
      <c r="AD160" s="103">
        <f>AD165</f>
        <v>0</v>
      </c>
      <c r="AE160" s="104">
        <f t="shared" si="54"/>
        <v>0</v>
      </c>
      <c r="AF160" s="201"/>
      <c r="AG160" s="201"/>
      <c r="AH160" s="201"/>
    </row>
    <row r="161" spans="1:34" s="189" customFormat="1" ht="63.75" customHeight="1" hidden="1">
      <c r="A161" s="76"/>
      <c r="B161" s="101" t="s">
        <v>137</v>
      </c>
      <c r="C161" s="101" t="s">
        <v>138</v>
      </c>
      <c r="D161" s="101" t="s">
        <v>275</v>
      </c>
      <c r="E161" s="117" t="s">
        <v>139</v>
      </c>
      <c r="F161" s="80">
        <f t="shared" si="33"/>
        <v>0</v>
      </c>
      <c r="G161" s="172">
        <f>G162</f>
        <v>0</v>
      </c>
      <c r="H161" s="172">
        <f aca="true" t="shared" si="57" ref="H161:AA161">H162</f>
        <v>0</v>
      </c>
      <c r="I161" s="172">
        <f t="shared" si="57"/>
        <v>0</v>
      </c>
      <c r="J161" s="172">
        <f t="shared" si="57"/>
        <v>0</v>
      </c>
      <c r="K161" s="172">
        <f t="shared" si="57"/>
        <v>0</v>
      </c>
      <c r="L161" s="172">
        <f t="shared" si="57"/>
        <v>0</v>
      </c>
      <c r="M161" s="172">
        <f t="shared" si="57"/>
        <v>0</v>
      </c>
      <c r="N161" s="172">
        <f t="shared" si="57"/>
        <v>0</v>
      </c>
      <c r="O161" s="174">
        <f>SUM(P161:R161)</f>
        <v>0</v>
      </c>
      <c r="P161" s="172">
        <f t="shared" si="57"/>
        <v>0</v>
      </c>
      <c r="Q161" s="172">
        <f t="shared" si="57"/>
        <v>0</v>
      </c>
      <c r="R161" s="172">
        <f t="shared" si="57"/>
        <v>0</v>
      </c>
      <c r="S161" s="172">
        <f t="shared" si="57"/>
        <v>0</v>
      </c>
      <c r="T161" s="172">
        <f t="shared" si="57"/>
        <v>0</v>
      </c>
      <c r="U161" s="172">
        <f t="shared" si="57"/>
        <v>0</v>
      </c>
      <c r="V161" s="172">
        <f t="shared" si="57"/>
        <v>0</v>
      </c>
      <c r="W161" s="172">
        <f t="shared" si="57"/>
        <v>0</v>
      </c>
      <c r="X161" s="172">
        <f t="shared" si="57"/>
        <v>0</v>
      </c>
      <c r="Y161" s="172">
        <f t="shared" si="57"/>
        <v>0</v>
      </c>
      <c r="Z161" s="172">
        <f t="shared" si="57"/>
        <v>0</v>
      </c>
      <c r="AA161" s="172">
        <f t="shared" si="57"/>
        <v>0</v>
      </c>
      <c r="AB161" s="172">
        <f t="shared" si="53"/>
        <v>0</v>
      </c>
      <c r="AC161" s="172">
        <f aca="true" t="shared" si="58" ref="AC161:AD164">AC165</f>
        <v>0</v>
      </c>
      <c r="AD161" s="172">
        <f t="shared" si="58"/>
        <v>0</v>
      </c>
      <c r="AE161" s="187">
        <f t="shared" si="54"/>
        <v>0</v>
      </c>
      <c r="AF161" s="194"/>
      <c r="AG161" s="194"/>
      <c r="AH161" s="194"/>
    </row>
    <row r="162" spans="1:34" s="39" customFormat="1" ht="58.5" customHeight="1" hidden="1">
      <c r="A162" s="76"/>
      <c r="B162" s="107"/>
      <c r="C162" s="107"/>
      <c r="D162" s="107"/>
      <c r="E162" s="1" t="s">
        <v>140</v>
      </c>
      <c r="F162" s="80">
        <f t="shared" si="33"/>
        <v>0</v>
      </c>
      <c r="G162" s="103"/>
      <c r="H162" s="110"/>
      <c r="I162" s="110"/>
      <c r="J162" s="110"/>
      <c r="K162" s="110"/>
      <c r="L162" s="110"/>
      <c r="M162" s="110"/>
      <c r="N162" s="110"/>
      <c r="O162" s="95">
        <f>SUM(P162:R162)</f>
        <v>0</v>
      </c>
      <c r="P162" s="110"/>
      <c r="Q162" s="110"/>
      <c r="R162" s="110"/>
      <c r="S162" s="110"/>
      <c r="T162" s="110"/>
      <c r="U162" s="110"/>
      <c r="V162" s="110"/>
      <c r="W162" s="110"/>
      <c r="X162" s="110"/>
      <c r="Y162" s="110"/>
      <c r="Z162" s="110"/>
      <c r="AA162" s="103"/>
      <c r="AB162" s="103">
        <f t="shared" si="53"/>
        <v>0</v>
      </c>
      <c r="AC162" s="103">
        <f t="shared" si="58"/>
        <v>0</v>
      </c>
      <c r="AD162" s="103">
        <f t="shared" si="58"/>
        <v>0</v>
      </c>
      <c r="AE162" s="104">
        <f t="shared" si="54"/>
        <v>0</v>
      </c>
      <c r="AF162" s="38"/>
      <c r="AG162" s="38"/>
      <c r="AH162" s="38"/>
    </row>
    <row r="163" spans="1:34" s="39" customFormat="1" ht="105" customHeight="1">
      <c r="A163" s="76"/>
      <c r="B163" s="101" t="s">
        <v>141</v>
      </c>
      <c r="C163" s="101" t="s">
        <v>142</v>
      </c>
      <c r="D163" s="101" t="s">
        <v>318</v>
      </c>
      <c r="E163" s="116" t="s">
        <v>143</v>
      </c>
      <c r="F163" s="80">
        <f t="shared" si="33"/>
        <v>0</v>
      </c>
      <c r="G163" s="103">
        <f>G164</f>
        <v>0</v>
      </c>
      <c r="H163" s="103">
        <f aca="true" t="shared" si="59" ref="H163:AA163">H164</f>
        <v>0</v>
      </c>
      <c r="I163" s="103">
        <f t="shared" si="59"/>
        <v>0</v>
      </c>
      <c r="J163" s="103">
        <f t="shared" si="59"/>
        <v>0</v>
      </c>
      <c r="K163" s="103">
        <f t="shared" si="59"/>
        <v>0</v>
      </c>
      <c r="L163" s="103">
        <f t="shared" si="59"/>
        <v>0</v>
      </c>
      <c r="M163" s="103">
        <f t="shared" si="59"/>
        <v>0</v>
      </c>
      <c r="N163" s="103">
        <f t="shared" si="59"/>
        <v>0</v>
      </c>
      <c r="O163" s="95">
        <f>SUM(P163:R163)</f>
        <v>0</v>
      </c>
      <c r="P163" s="103">
        <f t="shared" si="59"/>
        <v>0</v>
      </c>
      <c r="Q163" s="103">
        <f t="shared" si="59"/>
        <v>0</v>
      </c>
      <c r="R163" s="103">
        <f t="shared" si="59"/>
        <v>0</v>
      </c>
      <c r="S163" s="103">
        <f t="shared" si="59"/>
        <v>0</v>
      </c>
      <c r="T163" s="103">
        <f t="shared" si="59"/>
        <v>0</v>
      </c>
      <c r="U163" s="103">
        <f t="shared" si="59"/>
        <v>0</v>
      </c>
      <c r="V163" s="103">
        <f t="shared" si="59"/>
        <v>0</v>
      </c>
      <c r="W163" s="103">
        <f t="shared" si="59"/>
        <v>0</v>
      </c>
      <c r="X163" s="103">
        <f t="shared" si="59"/>
        <v>0</v>
      </c>
      <c r="Y163" s="103">
        <f t="shared" si="59"/>
        <v>0</v>
      </c>
      <c r="Z163" s="103">
        <f t="shared" si="59"/>
        <v>-15000</v>
      </c>
      <c r="AA163" s="103">
        <f t="shared" si="59"/>
        <v>0</v>
      </c>
      <c r="AB163" s="103">
        <f t="shared" si="53"/>
        <v>-15000</v>
      </c>
      <c r="AC163" s="103">
        <f t="shared" si="58"/>
        <v>0</v>
      </c>
      <c r="AD163" s="103">
        <f t="shared" si="58"/>
        <v>0</v>
      </c>
      <c r="AE163" s="104">
        <f t="shared" si="54"/>
        <v>-15000</v>
      </c>
      <c r="AF163" s="38"/>
      <c r="AG163" s="38"/>
      <c r="AH163" s="38"/>
    </row>
    <row r="164" spans="1:34" s="39" customFormat="1" ht="45.75" customHeight="1">
      <c r="A164" s="76"/>
      <c r="B164" s="107"/>
      <c r="C164" s="107"/>
      <c r="D164" s="107"/>
      <c r="E164" s="108" t="s">
        <v>133</v>
      </c>
      <c r="F164" s="80">
        <f t="shared" si="33"/>
        <v>0</v>
      </c>
      <c r="G164" s="103"/>
      <c r="H164" s="110"/>
      <c r="I164" s="110"/>
      <c r="J164" s="110"/>
      <c r="K164" s="110"/>
      <c r="L164" s="110"/>
      <c r="M164" s="110"/>
      <c r="N164" s="110"/>
      <c r="O164" s="95">
        <f>SUM(P164:R164)</f>
        <v>0</v>
      </c>
      <c r="P164" s="110"/>
      <c r="Q164" s="110"/>
      <c r="R164" s="110"/>
      <c r="S164" s="110"/>
      <c r="T164" s="110"/>
      <c r="U164" s="110"/>
      <c r="V164" s="110"/>
      <c r="W164" s="110"/>
      <c r="X164" s="110"/>
      <c r="Y164" s="110"/>
      <c r="Z164" s="110">
        <v>-15000</v>
      </c>
      <c r="AA164" s="103"/>
      <c r="AB164" s="103">
        <f t="shared" si="53"/>
        <v>-15000</v>
      </c>
      <c r="AC164" s="103">
        <f t="shared" si="58"/>
        <v>0</v>
      </c>
      <c r="AD164" s="103">
        <f t="shared" si="58"/>
        <v>0</v>
      </c>
      <c r="AE164" s="104">
        <f t="shared" si="54"/>
        <v>-15000</v>
      </c>
      <c r="AF164" s="138"/>
      <c r="AG164" s="138"/>
      <c r="AH164" s="138"/>
    </row>
    <row r="165" spans="1:34" s="189" customFormat="1" ht="90" customHeight="1" hidden="1">
      <c r="A165" s="76"/>
      <c r="B165" s="101" t="s">
        <v>47</v>
      </c>
      <c r="C165" s="101" t="s">
        <v>48</v>
      </c>
      <c r="D165" s="101" t="s">
        <v>318</v>
      </c>
      <c r="E165" s="116" t="s">
        <v>741</v>
      </c>
      <c r="F165" s="80">
        <f t="shared" si="33"/>
        <v>0</v>
      </c>
      <c r="G165" s="172"/>
      <c r="H165" s="173"/>
      <c r="I165" s="173"/>
      <c r="J165" s="173"/>
      <c r="K165" s="173"/>
      <c r="L165" s="173"/>
      <c r="M165" s="173"/>
      <c r="N165" s="173"/>
      <c r="O165" s="174">
        <f>SUM(P165:R165)</f>
        <v>0</v>
      </c>
      <c r="P165" s="173"/>
      <c r="Q165" s="173"/>
      <c r="R165" s="173"/>
      <c r="S165" s="173"/>
      <c r="T165" s="173"/>
      <c r="U165" s="173"/>
      <c r="V165" s="173"/>
      <c r="W165" s="173"/>
      <c r="X165" s="173"/>
      <c r="Y165" s="173"/>
      <c r="Z165" s="173"/>
      <c r="AA165" s="172"/>
      <c r="AB165" s="172">
        <f t="shared" si="53"/>
        <v>0</v>
      </c>
      <c r="AC165" s="172"/>
      <c r="AD165" s="172"/>
      <c r="AE165" s="187">
        <f t="shared" si="54"/>
        <v>0</v>
      </c>
      <c r="AF165" s="133"/>
      <c r="AG165" s="133"/>
      <c r="AH165" s="133"/>
    </row>
    <row r="166" spans="1:34" s="189" customFormat="1" ht="64.5" customHeight="1" hidden="1">
      <c r="A166" s="76"/>
      <c r="B166" s="101" t="s">
        <v>49</v>
      </c>
      <c r="C166" s="101" t="s">
        <v>50</v>
      </c>
      <c r="D166" s="101" t="s">
        <v>318</v>
      </c>
      <c r="E166" s="116" t="s">
        <v>742</v>
      </c>
      <c r="F166" s="80">
        <f t="shared" si="33"/>
        <v>0</v>
      </c>
      <c r="G166" s="172"/>
      <c r="H166" s="173"/>
      <c r="I166" s="173"/>
      <c r="J166" s="173"/>
      <c r="K166" s="173"/>
      <c r="L166" s="173"/>
      <c r="M166" s="173"/>
      <c r="N166" s="173"/>
      <c r="O166" s="174"/>
      <c r="P166" s="173"/>
      <c r="Q166" s="173"/>
      <c r="R166" s="173"/>
      <c r="S166" s="173"/>
      <c r="T166" s="173"/>
      <c r="U166" s="173"/>
      <c r="V166" s="173"/>
      <c r="W166" s="173"/>
      <c r="X166" s="173"/>
      <c r="Y166" s="173"/>
      <c r="Z166" s="173"/>
      <c r="AA166" s="172"/>
      <c r="AB166" s="172">
        <f t="shared" si="53"/>
        <v>0</v>
      </c>
      <c r="AC166" s="172"/>
      <c r="AD166" s="172"/>
      <c r="AE166" s="187">
        <f t="shared" si="54"/>
        <v>0</v>
      </c>
      <c r="AF166" s="133"/>
      <c r="AG166" s="133"/>
      <c r="AH166" s="133"/>
    </row>
    <row r="167" spans="1:34" s="39" customFormat="1" ht="99" customHeight="1">
      <c r="A167" s="140"/>
      <c r="B167" s="101" t="s">
        <v>51</v>
      </c>
      <c r="C167" s="101" t="s">
        <v>387</v>
      </c>
      <c r="D167" s="101" t="s">
        <v>338</v>
      </c>
      <c r="E167" s="102" t="s">
        <v>52</v>
      </c>
      <c r="F167" s="80">
        <f t="shared" si="33"/>
        <v>0</v>
      </c>
      <c r="G167" s="103">
        <f>SUM(G168:G169)</f>
        <v>0</v>
      </c>
      <c r="H167" s="103">
        <f aca="true" t="shared" si="60" ref="H167:AA167">SUM(H168:H169)</f>
        <v>0</v>
      </c>
      <c r="I167" s="103">
        <f t="shared" si="60"/>
        <v>0</v>
      </c>
      <c r="J167" s="103">
        <f t="shared" si="60"/>
        <v>0</v>
      </c>
      <c r="K167" s="103">
        <f t="shared" si="60"/>
        <v>0</v>
      </c>
      <c r="L167" s="103">
        <f t="shared" si="60"/>
        <v>0</v>
      </c>
      <c r="M167" s="103">
        <f t="shared" si="60"/>
        <v>0</v>
      </c>
      <c r="N167" s="103">
        <f t="shared" si="60"/>
        <v>0</v>
      </c>
      <c r="O167" s="95">
        <f>SUM(P167:R167)</f>
        <v>0</v>
      </c>
      <c r="P167" s="103">
        <f t="shared" si="60"/>
        <v>0</v>
      </c>
      <c r="Q167" s="103">
        <f t="shared" si="60"/>
        <v>0</v>
      </c>
      <c r="R167" s="103">
        <f t="shared" si="60"/>
        <v>0</v>
      </c>
      <c r="S167" s="103">
        <f t="shared" si="60"/>
        <v>0</v>
      </c>
      <c r="T167" s="103">
        <f t="shared" si="60"/>
        <v>0</v>
      </c>
      <c r="U167" s="103">
        <f t="shared" si="60"/>
        <v>0</v>
      </c>
      <c r="V167" s="103">
        <f t="shared" si="60"/>
        <v>0</v>
      </c>
      <c r="W167" s="103">
        <f t="shared" si="60"/>
        <v>0</v>
      </c>
      <c r="X167" s="103">
        <f t="shared" si="60"/>
        <v>0</v>
      </c>
      <c r="Y167" s="103">
        <f t="shared" si="60"/>
        <v>0</v>
      </c>
      <c r="Z167" s="103">
        <f t="shared" si="60"/>
        <v>-5000</v>
      </c>
      <c r="AA167" s="103">
        <f t="shared" si="60"/>
        <v>0</v>
      </c>
      <c r="AB167" s="103">
        <f t="shared" si="53"/>
        <v>-5000</v>
      </c>
      <c r="AC167" s="103">
        <f>SUM(AC168:AC169)</f>
        <v>0</v>
      </c>
      <c r="AD167" s="103">
        <f>SUM(AD168:AD169)</f>
        <v>0</v>
      </c>
      <c r="AE167" s="104">
        <f t="shared" si="54"/>
        <v>-5000</v>
      </c>
      <c r="AF167" s="138"/>
      <c r="AG167" s="138"/>
      <c r="AH167" s="138"/>
    </row>
    <row r="168" spans="1:34" s="39" customFormat="1" ht="48.75" customHeight="1">
      <c r="A168" s="140"/>
      <c r="B168" s="107"/>
      <c r="C168" s="107"/>
      <c r="D168" s="107"/>
      <c r="E168" s="108" t="s">
        <v>703</v>
      </c>
      <c r="F168" s="80">
        <f aca="true" t="shared" si="61" ref="F168:F255">SUM(G168:H168)</f>
        <v>0</v>
      </c>
      <c r="G168" s="172"/>
      <c r="H168" s="173"/>
      <c r="I168" s="173"/>
      <c r="J168" s="173"/>
      <c r="K168" s="173"/>
      <c r="L168" s="173"/>
      <c r="M168" s="173"/>
      <c r="N168" s="173"/>
      <c r="O168" s="95">
        <f>SUM(P168:R168)</f>
        <v>0</v>
      </c>
      <c r="P168" s="173"/>
      <c r="Q168" s="173"/>
      <c r="R168" s="173"/>
      <c r="S168" s="110"/>
      <c r="T168" s="110"/>
      <c r="U168" s="110"/>
      <c r="V168" s="110"/>
      <c r="W168" s="110"/>
      <c r="X168" s="110"/>
      <c r="Y168" s="110"/>
      <c r="Z168" s="110">
        <f>-4000-5000</f>
        <v>-9000</v>
      </c>
      <c r="AA168" s="103"/>
      <c r="AB168" s="175">
        <f t="shared" si="53"/>
        <v>-9000</v>
      </c>
      <c r="AC168" s="103">
        <f>SUM(AC170:AC170)</f>
        <v>0</v>
      </c>
      <c r="AD168" s="103">
        <f>SUM(AD170:AD170)</f>
        <v>0</v>
      </c>
      <c r="AE168" s="104">
        <f t="shared" si="54"/>
        <v>-9000</v>
      </c>
      <c r="AF168" s="138"/>
      <c r="AG168" s="138"/>
      <c r="AH168" s="138"/>
    </row>
    <row r="169" spans="1:34" s="39" customFormat="1" ht="63.75" customHeight="1">
      <c r="A169" s="140"/>
      <c r="B169" s="107"/>
      <c r="C169" s="107"/>
      <c r="D169" s="107"/>
      <c r="E169" s="108" t="s">
        <v>704</v>
      </c>
      <c r="F169" s="80">
        <f t="shared" si="61"/>
        <v>0</v>
      </c>
      <c r="G169" s="175"/>
      <c r="H169" s="202"/>
      <c r="I169" s="173"/>
      <c r="J169" s="173"/>
      <c r="K169" s="173"/>
      <c r="L169" s="173"/>
      <c r="M169" s="173"/>
      <c r="N169" s="173">
        <f>N93</f>
        <v>0</v>
      </c>
      <c r="O169" s="95">
        <f>SUM(P169:R169)</f>
        <v>0</v>
      </c>
      <c r="P169" s="202"/>
      <c r="Q169" s="202"/>
      <c r="R169" s="202"/>
      <c r="S169" s="110"/>
      <c r="T169" s="110"/>
      <c r="U169" s="110"/>
      <c r="V169" s="110"/>
      <c r="W169" s="110"/>
      <c r="X169" s="110"/>
      <c r="Y169" s="110"/>
      <c r="Z169" s="110">
        <v>4000</v>
      </c>
      <c r="AA169" s="103"/>
      <c r="AB169" s="175">
        <f t="shared" si="53"/>
        <v>4000</v>
      </c>
      <c r="AC169" s="103">
        <f>AC93</f>
        <v>0</v>
      </c>
      <c r="AD169" s="103">
        <f>AD93</f>
        <v>0</v>
      </c>
      <c r="AE169" s="104">
        <f t="shared" si="54"/>
        <v>4000</v>
      </c>
      <c r="AF169" s="138"/>
      <c r="AG169" s="138"/>
      <c r="AH169" s="138"/>
    </row>
    <row r="170" spans="1:34" s="189" customFormat="1" ht="45.75" customHeight="1">
      <c r="A170" s="76" t="s">
        <v>272</v>
      </c>
      <c r="B170" s="101" t="s">
        <v>53</v>
      </c>
      <c r="C170" s="101" t="s">
        <v>54</v>
      </c>
      <c r="D170" s="101" t="s">
        <v>296</v>
      </c>
      <c r="E170" s="102" t="s">
        <v>55</v>
      </c>
      <c r="F170" s="80">
        <f t="shared" si="61"/>
        <v>0</v>
      </c>
      <c r="G170" s="172">
        <f>SUM(G171:G174)</f>
        <v>0</v>
      </c>
      <c r="H170" s="172">
        <f aca="true" t="shared" si="62" ref="H170:AA170">SUM(H171:H174)</f>
        <v>0</v>
      </c>
      <c r="I170" s="172">
        <f t="shared" si="62"/>
        <v>0</v>
      </c>
      <c r="J170" s="172">
        <f t="shared" si="62"/>
        <v>0</v>
      </c>
      <c r="K170" s="172">
        <f t="shared" si="62"/>
        <v>0</v>
      </c>
      <c r="L170" s="172">
        <f>SUM(L171:L174)</f>
        <v>0</v>
      </c>
      <c r="M170" s="172">
        <f t="shared" si="62"/>
        <v>0</v>
      </c>
      <c r="N170" s="172">
        <f t="shared" si="62"/>
        <v>0</v>
      </c>
      <c r="O170" s="174">
        <f>SUM(P170:R170)</f>
        <v>0</v>
      </c>
      <c r="P170" s="172">
        <f t="shared" si="62"/>
        <v>0</v>
      </c>
      <c r="Q170" s="172">
        <f t="shared" si="62"/>
        <v>0</v>
      </c>
      <c r="R170" s="172">
        <f t="shared" si="62"/>
        <v>0</v>
      </c>
      <c r="S170" s="172">
        <f t="shared" si="62"/>
        <v>0</v>
      </c>
      <c r="T170" s="172">
        <f t="shared" si="62"/>
        <v>0</v>
      </c>
      <c r="U170" s="172">
        <f t="shared" si="62"/>
        <v>0</v>
      </c>
      <c r="V170" s="172">
        <f t="shared" si="62"/>
        <v>0</v>
      </c>
      <c r="W170" s="172">
        <f t="shared" si="62"/>
        <v>0</v>
      </c>
      <c r="X170" s="172">
        <f t="shared" si="62"/>
        <v>0</v>
      </c>
      <c r="Y170" s="172">
        <f t="shared" si="62"/>
        <v>0</v>
      </c>
      <c r="Z170" s="172">
        <f t="shared" si="62"/>
        <v>-215699</v>
      </c>
      <c r="AA170" s="172">
        <f t="shared" si="62"/>
        <v>0</v>
      </c>
      <c r="AB170" s="172">
        <f t="shared" si="53"/>
        <v>-215699</v>
      </c>
      <c r="AC170" s="172"/>
      <c r="AD170" s="172"/>
      <c r="AE170" s="187">
        <f t="shared" si="54"/>
        <v>-215699</v>
      </c>
      <c r="AF170" s="194"/>
      <c r="AG170" s="194"/>
      <c r="AH170" s="194"/>
    </row>
    <row r="171" spans="1:34" s="39" customFormat="1" ht="45.75" customHeight="1">
      <c r="A171" s="140"/>
      <c r="B171" s="107"/>
      <c r="C171" s="107"/>
      <c r="D171" s="107"/>
      <c r="E171" s="108" t="s">
        <v>144</v>
      </c>
      <c r="F171" s="80">
        <f t="shared" si="61"/>
        <v>0</v>
      </c>
      <c r="G171" s="103"/>
      <c r="H171" s="103"/>
      <c r="I171" s="103"/>
      <c r="J171" s="103"/>
      <c r="K171" s="103"/>
      <c r="L171" s="103"/>
      <c r="M171" s="103"/>
      <c r="N171" s="103"/>
      <c r="O171" s="95"/>
      <c r="P171" s="103"/>
      <c r="Q171" s="103"/>
      <c r="R171" s="103"/>
      <c r="S171" s="103"/>
      <c r="T171" s="103"/>
      <c r="U171" s="103"/>
      <c r="V171" s="103"/>
      <c r="W171" s="103"/>
      <c r="X171" s="103"/>
      <c r="Y171" s="103"/>
      <c r="Z171" s="103">
        <f>-85500-32428-20000</f>
        <v>-137928</v>
      </c>
      <c r="AA171" s="103"/>
      <c r="AB171" s="103">
        <f t="shared" si="53"/>
        <v>-137928</v>
      </c>
      <c r="AC171" s="103"/>
      <c r="AD171" s="103"/>
      <c r="AE171" s="104">
        <f t="shared" si="54"/>
        <v>-137928</v>
      </c>
      <c r="AF171" s="123"/>
      <c r="AG171" s="123"/>
      <c r="AH171" s="123"/>
    </row>
    <row r="172" spans="1:34" s="39" customFormat="1" ht="57" customHeight="1">
      <c r="A172" s="140"/>
      <c r="B172" s="107"/>
      <c r="C172" s="107"/>
      <c r="D172" s="107"/>
      <c r="E172" s="108" t="s">
        <v>676</v>
      </c>
      <c r="F172" s="80">
        <f t="shared" si="61"/>
        <v>0</v>
      </c>
      <c r="G172" s="103"/>
      <c r="H172" s="103"/>
      <c r="I172" s="103"/>
      <c r="J172" s="103"/>
      <c r="K172" s="103"/>
      <c r="L172" s="103"/>
      <c r="M172" s="103"/>
      <c r="N172" s="103"/>
      <c r="O172" s="95"/>
      <c r="P172" s="103"/>
      <c r="Q172" s="103"/>
      <c r="R172" s="103"/>
      <c r="S172" s="103"/>
      <c r="T172" s="103"/>
      <c r="U172" s="103"/>
      <c r="V172" s="103"/>
      <c r="W172" s="103"/>
      <c r="X172" s="103"/>
      <c r="Y172" s="103"/>
      <c r="Z172" s="103">
        <f>-57771-20000</f>
        <v>-77771</v>
      </c>
      <c r="AA172" s="103"/>
      <c r="AB172" s="103">
        <f t="shared" si="53"/>
        <v>-77771</v>
      </c>
      <c r="AC172" s="103"/>
      <c r="AD172" s="103"/>
      <c r="AE172" s="104">
        <f t="shared" si="54"/>
        <v>-77771</v>
      </c>
      <c r="AF172" s="138"/>
      <c r="AG172" s="138"/>
      <c r="AH172" s="138"/>
    </row>
    <row r="173" spans="1:34" s="39" customFormat="1" ht="63.75" customHeight="1" hidden="1">
      <c r="A173" s="140"/>
      <c r="B173" s="107"/>
      <c r="C173" s="107"/>
      <c r="D173" s="107"/>
      <c r="E173" s="108" t="s">
        <v>479</v>
      </c>
      <c r="F173" s="80">
        <f t="shared" si="61"/>
        <v>0</v>
      </c>
      <c r="G173" s="103"/>
      <c r="H173" s="103"/>
      <c r="I173" s="103"/>
      <c r="J173" s="103"/>
      <c r="K173" s="103"/>
      <c r="L173" s="103"/>
      <c r="M173" s="103"/>
      <c r="N173" s="103"/>
      <c r="O173" s="95"/>
      <c r="P173" s="103"/>
      <c r="Q173" s="103"/>
      <c r="R173" s="103"/>
      <c r="S173" s="103"/>
      <c r="T173" s="103"/>
      <c r="U173" s="103"/>
      <c r="V173" s="103"/>
      <c r="W173" s="103"/>
      <c r="X173" s="103"/>
      <c r="Y173" s="103"/>
      <c r="Z173" s="103"/>
      <c r="AA173" s="103"/>
      <c r="AB173" s="103">
        <f t="shared" si="53"/>
        <v>0</v>
      </c>
      <c r="AC173" s="103"/>
      <c r="AD173" s="103"/>
      <c r="AE173" s="104">
        <f t="shared" si="54"/>
        <v>0</v>
      </c>
      <c r="AF173" s="38"/>
      <c r="AG173" s="38"/>
      <c r="AH173" s="38"/>
    </row>
    <row r="174" spans="1:34" s="39" customFormat="1" ht="30.75" customHeight="1" hidden="1">
      <c r="A174" s="140" t="s">
        <v>243</v>
      </c>
      <c r="B174" s="107"/>
      <c r="C174" s="107"/>
      <c r="D174" s="107"/>
      <c r="E174" s="108" t="s">
        <v>388</v>
      </c>
      <c r="F174" s="80">
        <f t="shared" si="61"/>
        <v>0</v>
      </c>
      <c r="G174" s="103"/>
      <c r="H174" s="110"/>
      <c r="I174" s="110"/>
      <c r="J174" s="110"/>
      <c r="K174" s="110"/>
      <c r="L174" s="110"/>
      <c r="M174" s="110"/>
      <c r="N174" s="110"/>
      <c r="O174" s="95">
        <f>SUM(P174:R174)</f>
        <v>0</v>
      </c>
      <c r="P174" s="110"/>
      <c r="Q174" s="110"/>
      <c r="R174" s="110"/>
      <c r="S174" s="110"/>
      <c r="T174" s="110"/>
      <c r="U174" s="110"/>
      <c r="V174" s="110"/>
      <c r="W174" s="110"/>
      <c r="X174" s="110"/>
      <c r="Y174" s="110"/>
      <c r="Z174" s="110"/>
      <c r="AA174" s="103"/>
      <c r="AB174" s="103">
        <f t="shared" si="53"/>
        <v>0</v>
      </c>
      <c r="AC174" s="103"/>
      <c r="AD174" s="103"/>
      <c r="AE174" s="104">
        <f t="shared" si="54"/>
        <v>0</v>
      </c>
      <c r="AF174" s="38"/>
      <c r="AG174" s="38"/>
      <c r="AH174" s="38"/>
    </row>
    <row r="175" spans="1:34" s="189" customFormat="1" ht="69" customHeight="1">
      <c r="A175" s="76"/>
      <c r="B175" s="101" t="s">
        <v>145</v>
      </c>
      <c r="C175" s="101" t="s">
        <v>146</v>
      </c>
      <c r="D175" s="101" t="s">
        <v>296</v>
      </c>
      <c r="E175" s="102" t="s">
        <v>147</v>
      </c>
      <c r="F175" s="80">
        <f t="shared" si="61"/>
        <v>0</v>
      </c>
      <c r="G175" s="172">
        <f>SUM(G176:G177)</f>
        <v>0</v>
      </c>
      <c r="H175" s="172">
        <f aca="true" t="shared" si="63" ref="H175:AA175">SUM(H176:H177)</f>
        <v>0</v>
      </c>
      <c r="I175" s="172">
        <f t="shared" si="63"/>
        <v>0</v>
      </c>
      <c r="J175" s="172">
        <f t="shared" si="63"/>
        <v>0</v>
      </c>
      <c r="K175" s="172">
        <f t="shared" si="63"/>
        <v>0</v>
      </c>
      <c r="L175" s="172">
        <f t="shared" si="63"/>
        <v>0</v>
      </c>
      <c r="M175" s="172">
        <f t="shared" si="63"/>
        <v>0</v>
      </c>
      <c r="N175" s="172">
        <f t="shared" si="63"/>
        <v>0</v>
      </c>
      <c r="O175" s="174">
        <f>SUM(P175:R175)</f>
        <v>0</v>
      </c>
      <c r="P175" s="172">
        <f t="shared" si="63"/>
        <v>0</v>
      </c>
      <c r="Q175" s="172">
        <f t="shared" si="63"/>
        <v>0</v>
      </c>
      <c r="R175" s="172">
        <f t="shared" si="63"/>
        <v>0</v>
      </c>
      <c r="S175" s="172">
        <f t="shared" si="63"/>
        <v>0</v>
      </c>
      <c r="T175" s="172">
        <f t="shared" si="63"/>
        <v>0</v>
      </c>
      <c r="U175" s="172">
        <f t="shared" si="63"/>
        <v>-20858</v>
      </c>
      <c r="V175" s="172">
        <f t="shared" si="63"/>
        <v>0</v>
      </c>
      <c r="W175" s="172">
        <f t="shared" si="63"/>
        <v>0</v>
      </c>
      <c r="X175" s="172">
        <f t="shared" si="63"/>
        <v>0</v>
      </c>
      <c r="Y175" s="172">
        <f t="shared" si="63"/>
        <v>0</v>
      </c>
      <c r="Z175" s="172">
        <f t="shared" si="63"/>
        <v>0</v>
      </c>
      <c r="AA175" s="172">
        <f t="shared" si="63"/>
        <v>0</v>
      </c>
      <c r="AB175" s="172">
        <f t="shared" si="53"/>
        <v>-20858</v>
      </c>
      <c r="AC175" s="172"/>
      <c r="AD175" s="172"/>
      <c r="AE175" s="187">
        <f t="shared" si="54"/>
        <v>-20858</v>
      </c>
      <c r="AF175" s="194"/>
      <c r="AG175" s="194"/>
      <c r="AH175" s="194"/>
    </row>
    <row r="176" spans="1:34" s="39" customFormat="1" ht="48" customHeight="1">
      <c r="A176" s="140"/>
      <c r="B176" s="107"/>
      <c r="C176" s="107"/>
      <c r="D176" s="107"/>
      <c r="E176" s="108" t="s">
        <v>493</v>
      </c>
      <c r="F176" s="80">
        <f t="shared" si="61"/>
        <v>0</v>
      </c>
      <c r="G176" s="103"/>
      <c r="H176" s="110"/>
      <c r="I176" s="110"/>
      <c r="J176" s="110"/>
      <c r="K176" s="110"/>
      <c r="L176" s="110"/>
      <c r="M176" s="110"/>
      <c r="N176" s="110"/>
      <c r="O176" s="95">
        <f>SUM(P176:R176)</f>
        <v>0</v>
      </c>
      <c r="P176" s="110"/>
      <c r="Q176" s="110"/>
      <c r="R176" s="110"/>
      <c r="S176" s="110"/>
      <c r="T176" s="110"/>
      <c r="U176" s="110">
        <f>-5310-3608-11940</f>
        <v>-20858</v>
      </c>
      <c r="V176" s="110"/>
      <c r="W176" s="110"/>
      <c r="X176" s="110"/>
      <c r="Y176" s="110"/>
      <c r="Z176" s="110"/>
      <c r="AA176" s="103"/>
      <c r="AB176" s="103">
        <f t="shared" si="53"/>
        <v>-20858</v>
      </c>
      <c r="AC176" s="103"/>
      <c r="AD176" s="103"/>
      <c r="AE176" s="104">
        <f t="shared" si="54"/>
        <v>-20858</v>
      </c>
      <c r="AF176" s="138"/>
      <c r="AG176" s="138"/>
      <c r="AH176" s="138"/>
    </row>
    <row r="177" spans="1:34" s="39" customFormat="1" ht="80.25" customHeight="1" hidden="1">
      <c r="A177" s="140"/>
      <c r="B177" s="107"/>
      <c r="C177" s="107"/>
      <c r="D177" s="107"/>
      <c r="E177" s="108" t="s">
        <v>677</v>
      </c>
      <c r="F177" s="80">
        <f t="shared" si="61"/>
        <v>0</v>
      </c>
      <c r="G177" s="103"/>
      <c r="H177" s="110"/>
      <c r="I177" s="110"/>
      <c r="J177" s="110"/>
      <c r="K177" s="110"/>
      <c r="L177" s="110"/>
      <c r="M177" s="110"/>
      <c r="N177" s="110"/>
      <c r="O177" s="95">
        <f>SUM(P177:R177)</f>
        <v>0</v>
      </c>
      <c r="P177" s="110"/>
      <c r="Q177" s="110"/>
      <c r="R177" s="110"/>
      <c r="S177" s="110"/>
      <c r="T177" s="110"/>
      <c r="U177" s="110"/>
      <c r="V177" s="110"/>
      <c r="W177" s="110"/>
      <c r="X177" s="110"/>
      <c r="Y177" s="110"/>
      <c r="Z177" s="110"/>
      <c r="AA177" s="103"/>
      <c r="AB177" s="103">
        <f t="shared" si="53"/>
        <v>0</v>
      </c>
      <c r="AC177" s="103"/>
      <c r="AD177" s="103"/>
      <c r="AE177" s="104">
        <f t="shared" si="54"/>
        <v>0</v>
      </c>
      <c r="AF177" s="138"/>
      <c r="AG177" s="138"/>
      <c r="AH177" s="138"/>
    </row>
    <row r="178" spans="1:34" s="189" customFormat="1" ht="42" customHeight="1">
      <c r="A178" s="76"/>
      <c r="B178" s="101" t="s">
        <v>56</v>
      </c>
      <c r="C178" s="101" t="s">
        <v>57</v>
      </c>
      <c r="D178" s="101" t="s">
        <v>262</v>
      </c>
      <c r="E178" s="102" t="s">
        <v>58</v>
      </c>
      <c r="F178" s="80">
        <f t="shared" si="61"/>
        <v>0</v>
      </c>
      <c r="G178" s="172">
        <f aca="true" t="shared" si="64" ref="G178:AA178">SUM(G179:G183)</f>
        <v>0</v>
      </c>
      <c r="H178" s="172">
        <f t="shared" si="64"/>
        <v>0</v>
      </c>
      <c r="I178" s="172">
        <f t="shared" si="64"/>
        <v>-2485</v>
      </c>
      <c r="J178" s="172">
        <f t="shared" si="64"/>
        <v>0</v>
      </c>
      <c r="K178" s="172">
        <f t="shared" si="64"/>
        <v>0</v>
      </c>
      <c r="L178" s="172">
        <f t="shared" si="64"/>
        <v>-55691</v>
      </c>
      <c r="M178" s="172">
        <f t="shared" si="64"/>
        <v>0</v>
      </c>
      <c r="N178" s="172">
        <f t="shared" si="64"/>
        <v>0</v>
      </c>
      <c r="O178" s="193">
        <f t="shared" si="64"/>
        <v>0</v>
      </c>
      <c r="P178" s="172">
        <f t="shared" si="64"/>
        <v>0</v>
      </c>
      <c r="Q178" s="172">
        <f t="shared" si="64"/>
        <v>0</v>
      </c>
      <c r="R178" s="172">
        <f t="shared" si="64"/>
        <v>0</v>
      </c>
      <c r="S178" s="172">
        <f t="shared" si="64"/>
        <v>0</v>
      </c>
      <c r="T178" s="172">
        <f t="shared" si="64"/>
        <v>0</v>
      </c>
      <c r="U178" s="172">
        <f t="shared" si="64"/>
        <v>0</v>
      </c>
      <c r="V178" s="172">
        <f t="shared" si="64"/>
        <v>0</v>
      </c>
      <c r="W178" s="172">
        <f t="shared" si="64"/>
        <v>0</v>
      </c>
      <c r="X178" s="172">
        <f t="shared" si="64"/>
        <v>0</v>
      </c>
      <c r="Y178" s="172">
        <f t="shared" si="64"/>
        <v>0</v>
      </c>
      <c r="Z178" s="172">
        <f>SUM(Z179:Z183)</f>
        <v>-29241</v>
      </c>
      <c r="AA178" s="172">
        <f t="shared" si="64"/>
        <v>0</v>
      </c>
      <c r="AB178" s="172">
        <f t="shared" si="53"/>
        <v>-87417</v>
      </c>
      <c r="AC178" s="172">
        <f>SUM(AC179:AC180)</f>
        <v>0</v>
      </c>
      <c r="AD178" s="172">
        <f>SUM(AD179:AD180)</f>
        <v>0</v>
      </c>
      <c r="AE178" s="187">
        <f t="shared" si="54"/>
        <v>-87417</v>
      </c>
      <c r="AF178" s="194"/>
      <c r="AG178" s="194"/>
      <c r="AH178" s="194"/>
    </row>
    <row r="179" spans="1:34" s="39" customFormat="1" ht="47.25" customHeight="1">
      <c r="A179" s="76"/>
      <c r="B179" s="107"/>
      <c r="C179" s="107"/>
      <c r="D179" s="107"/>
      <c r="E179" s="1" t="s">
        <v>133</v>
      </c>
      <c r="F179" s="80">
        <f t="shared" si="61"/>
        <v>0</v>
      </c>
      <c r="G179" s="103"/>
      <c r="H179" s="110"/>
      <c r="I179" s="110">
        <f>-350-700-700-700-35</f>
        <v>-2485</v>
      </c>
      <c r="J179" s="110"/>
      <c r="K179" s="110"/>
      <c r="L179" s="110">
        <f>-21700-33811-180</f>
        <v>-55691</v>
      </c>
      <c r="M179" s="110"/>
      <c r="N179" s="110"/>
      <c r="O179" s="95"/>
      <c r="P179" s="110"/>
      <c r="Q179" s="110"/>
      <c r="R179" s="110"/>
      <c r="S179" s="110"/>
      <c r="T179" s="110"/>
      <c r="U179" s="110"/>
      <c r="V179" s="110"/>
      <c r="W179" s="110"/>
      <c r="X179" s="110"/>
      <c r="Y179" s="110"/>
      <c r="Z179" s="110">
        <f>-1441-20400</f>
        <v>-21841</v>
      </c>
      <c r="AA179" s="103"/>
      <c r="AB179" s="103">
        <f t="shared" si="53"/>
        <v>-80017</v>
      </c>
      <c r="AC179" s="103"/>
      <c r="AD179" s="103"/>
      <c r="AE179" s="104">
        <f t="shared" si="54"/>
        <v>-80017</v>
      </c>
      <c r="AF179" s="138"/>
      <c r="AG179" s="138"/>
      <c r="AH179" s="138"/>
    </row>
    <row r="180" spans="1:34" s="39" customFormat="1" ht="66" customHeight="1" hidden="1">
      <c r="A180" s="140" t="s">
        <v>303</v>
      </c>
      <c r="B180" s="107"/>
      <c r="C180" s="107"/>
      <c r="D180" s="107"/>
      <c r="E180" s="1" t="s">
        <v>479</v>
      </c>
      <c r="F180" s="80">
        <f t="shared" si="61"/>
        <v>0</v>
      </c>
      <c r="G180" s="103"/>
      <c r="H180" s="110"/>
      <c r="I180" s="110"/>
      <c r="J180" s="110"/>
      <c r="K180" s="110"/>
      <c r="L180" s="110"/>
      <c r="M180" s="110"/>
      <c r="N180" s="110"/>
      <c r="O180" s="95"/>
      <c r="P180" s="110"/>
      <c r="Q180" s="110"/>
      <c r="R180" s="110"/>
      <c r="S180" s="110"/>
      <c r="T180" s="110"/>
      <c r="U180" s="110"/>
      <c r="V180" s="110"/>
      <c r="W180" s="110"/>
      <c r="X180" s="110"/>
      <c r="Y180" s="110"/>
      <c r="Z180" s="110"/>
      <c r="AA180" s="103"/>
      <c r="AB180" s="103">
        <f t="shared" si="53"/>
        <v>0</v>
      </c>
      <c r="AC180" s="103">
        <f>SUM(AC182:AC185)</f>
        <v>0</v>
      </c>
      <c r="AD180" s="103">
        <f>SUM(AD182:AD185)</f>
        <v>0</v>
      </c>
      <c r="AE180" s="104">
        <f t="shared" si="54"/>
        <v>0</v>
      </c>
      <c r="AF180" s="138"/>
      <c r="AG180" s="138"/>
      <c r="AH180" s="138"/>
    </row>
    <row r="181" spans="1:34" s="39" customFormat="1" ht="90" customHeight="1">
      <c r="A181" s="140"/>
      <c r="B181" s="107"/>
      <c r="C181" s="107"/>
      <c r="D181" s="107"/>
      <c r="E181" s="1" t="s">
        <v>677</v>
      </c>
      <c r="F181" s="80">
        <f t="shared" si="61"/>
        <v>0</v>
      </c>
      <c r="G181" s="103"/>
      <c r="H181" s="110"/>
      <c r="I181" s="110"/>
      <c r="J181" s="110"/>
      <c r="K181" s="110"/>
      <c r="L181" s="110"/>
      <c r="M181" s="110"/>
      <c r="N181" s="110"/>
      <c r="O181" s="95"/>
      <c r="P181" s="110"/>
      <c r="Q181" s="110"/>
      <c r="R181" s="110"/>
      <c r="S181" s="110"/>
      <c r="T181" s="110"/>
      <c r="U181" s="110"/>
      <c r="V181" s="110"/>
      <c r="W181" s="110"/>
      <c r="X181" s="110"/>
      <c r="Y181" s="110"/>
      <c r="Z181" s="64">
        <v>-7400</v>
      </c>
      <c r="AA181" s="103"/>
      <c r="AB181" s="103">
        <f>SUM(G181:AA181)-O181</f>
        <v>-7400</v>
      </c>
      <c r="AC181" s="103"/>
      <c r="AD181" s="103">
        <f>SUM(AD183:AD188)</f>
        <v>0</v>
      </c>
      <c r="AE181" s="104">
        <f t="shared" si="54"/>
        <v>-7400</v>
      </c>
      <c r="AF181" s="138"/>
      <c r="AG181" s="138"/>
      <c r="AH181" s="138"/>
    </row>
    <row r="182" spans="1:34" s="39" customFormat="1" ht="26.25" customHeight="1" hidden="1">
      <c r="A182" s="140"/>
      <c r="B182" s="107"/>
      <c r="C182" s="107"/>
      <c r="D182" s="107"/>
      <c r="E182" s="108" t="s">
        <v>388</v>
      </c>
      <c r="F182" s="80">
        <f t="shared" si="61"/>
        <v>0</v>
      </c>
      <c r="G182" s="103"/>
      <c r="H182" s="110"/>
      <c r="I182" s="110"/>
      <c r="J182" s="110"/>
      <c r="K182" s="110"/>
      <c r="L182" s="110"/>
      <c r="M182" s="110"/>
      <c r="N182" s="110"/>
      <c r="O182" s="95">
        <f>SUM(P182:R182)</f>
        <v>0</v>
      </c>
      <c r="P182" s="110"/>
      <c r="Q182" s="110"/>
      <c r="R182" s="110"/>
      <c r="S182" s="110"/>
      <c r="T182" s="110"/>
      <c r="U182" s="110"/>
      <c r="V182" s="110"/>
      <c r="W182" s="110"/>
      <c r="X182" s="110"/>
      <c r="Y182" s="110"/>
      <c r="Z182" s="110"/>
      <c r="AA182" s="103"/>
      <c r="AB182" s="103">
        <f t="shared" si="53"/>
        <v>0</v>
      </c>
      <c r="AC182" s="103"/>
      <c r="AD182" s="103"/>
      <c r="AE182" s="104">
        <f t="shared" si="54"/>
        <v>0</v>
      </c>
      <c r="AF182" s="38"/>
      <c r="AG182" s="38"/>
      <c r="AH182" s="38"/>
    </row>
    <row r="183" spans="1:34" s="39" customFormat="1" ht="132" customHeight="1" hidden="1">
      <c r="A183" s="140"/>
      <c r="B183" s="107"/>
      <c r="C183" s="107"/>
      <c r="D183" s="107"/>
      <c r="E183" s="108" t="s">
        <v>389</v>
      </c>
      <c r="F183" s="80">
        <f t="shared" si="61"/>
        <v>0</v>
      </c>
      <c r="G183" s="103"/>
      <c r="H183" s="110"/>
      <c r="I183" s="110"/>
      <c r="J183" s="110"/>
      <c r="K183" s="110"/>
      <c r="L183" s="110"/>
      <c r="M183" s="110"/>
      <c r="N183" s="110"/>
      <c r="O183" s="95">
        <f>SUM(P183:R183)</f>
        <v>0</v>
      </c>
      <c r="P183" s="110"/>
      <c r="Q183" s="110"/>
      <c r="R183" s="110"/>
      <c r="S183" s="110"/>
      <c r="T183" s="110"/>
      <c r="U183" s="110"/>
      <c r="V183" s="110"/>
      <c r="W183" s="110"/>
      <c r="X183" s="110"/>
      <c r="Y183" s="110"/>
      <c r="Z183" s="110"/>
      <c r="AA183" s="103"/>
      <c r="AB183" s="103">
        <f t="shared" si="53"/>
        <v>0</v>
      </c>
      <c r="AC183" s="103"/>
      <c r="AD183" s="103"/>
      <c r="AE183" s="104">
        <f t="shared" si="54"/>
        <v>0</v>
      </c>
      <c r="AF183" s="38"/>
      <c r="AG183" s="38"/>
      <c r="AH183" s="38"/>
    </row>
    <row r="184" spans="1:34" s="39" customFormat="1" ht="46.5" customHeight="1">
      <c r="A184" s="140"/>
      <c r="B184" s="101" t="s">
        <v>59</v>
      </c>
      <c r="C184" s="101" t="s">
        <v>60</v>
      </c>
      <c r="D184" s="101" t="s">
        <v>345</v>
      </c>
      <c r="E184" s="102" t="s">
        <v>61</v>
      </c>
      <c r="F184" s="80">
        <f t="shared" si="61"/>
        <v>-100741</v>
      </c>
      <c r="G184" s="103">
        <f>G185</f>
        <v>-81713</v>
      </c>
      <c r="H184" s="103">
        <f aca="true" t="shared" si="65" ref="H184:AA184">H185</f>
        <v>-19028</v>
      </c>
      <c r="I184" s="103">
        <f t="shared" si="65"/>
        <v>0</v>
      </c>
      <c r="J184" s="103">
        <f t="shared" si="65"/>
        <v>0</v>
      </c>
      <c r="K184" s="103">
        <f t="shared" si="65"/>
        <v>0</v>
      </c>
      <c r="L184" s="103">
        <f t="shared" si="65"/>
        <v>0</v>
      </c>
      <c r="M184" s="103">
        <f t="shared" si="65"/>
        <v>0</v>
      </c>
      <c r="N184" s="103">
        <f t="shared" si="65"/>
        <v>0</v>
      </c>
      <c r="O184" s="95">
        <f>SUM(P184:R184)</f>
        <v>0</v>
      </c>
      <c r="P184" s="103">
        <f t="shared" si="65"/>
        <v>0</v>
      </c>
      <c r="Q184" s="103">
        <f t="shared" si="65"/>
        <v>0</v>
      </c>
      <c r="R184" s="103">
        <f t="shared" si="65"/>
        <v>0</v>
      </c>
      <c r="S184" s="103">
        <f t="shared" si="65"/>
        <v>0</v>
      </c>
      <c r="T184" s="103">
        <f t="shared" si="65"/>
        <v>0</v>
      </c>
      <c r="U184" s="103">
        <f t="shared" si="65"/>
        <v>0</v>
      </c>
      <c r="V184" s="103">
        <f t="shared" si="65"/>
        <v>0</v>
      </c>
      <c r="W184" s="103">
        <f t="shared" si="65"/>
        <v>0</v>
      </c>
      <c r="X184" s="103">
        <f t="shared" si="65"/>
        <v>0</v>
      </c>
      <c r="Y184" s="103">
        <f t="shared" si="65"/>
        <v>0</v>
      </c>
      <c r="Z184" s="103">
        <f t="shared" si="65"/>
        <v>0</v>
      </c>
      <c r="AA184" s="103">
        <f t="shared" si="65"/>
        <v>0</v>
      </c>
      <c r="AB184" s="103">
        <f t="shared" si="53"/>
        <v>-100741</v>
      </c>
      <c r="AC184" s="103"/>
      <c r="AD184" s="103"/>
      <c r="AE184" s="104">
        <f t="shared" si="54"/>
        <v>-100741</v>
      </c>
      <c r="AF184" s="38"/>
      <c r="AG184" s="38"/>
      <c r="AH184" s="38"/>
    </row>
    <row r="185" spans="1:34" s="39" customFormat="1" ht="80.25" customHeight="1">
      <c r="A185" s="140"/>
      <c r="B185" s="107"/>
      <c r="C185" s="107"/>
      <c r="D185" s="107"/>
      <c r="E185" s="108" t="s">
        <v>240</v>
      </c>
      <c r="F185" s="80">
        <f t="shared" si="61"/>
        <v>-100741</v>
      </c>
      <c r="G185" s="103">
        <v>-81713</v>
      </c>
      <c r="H185" s="110">
        <v>-19028</v>
      </c>
      <c r="I185" s="110"/>
      <c r="J185" s="110"/>
      <c r="K185" s="110"/>
      <c r="L185" s="110"/>
      <c r="M185" s="110"/>
      <c r="N185" s="110"/>
      <c r="O185" s="95">
        <f>SUM(P185:R185)</f>
        <v>0</v>
      </c>
      <c r="P185" s="110"/>
      <c r="Q185" s="110"/>
      <c r="R185" s="110"/>
      <c r="S185" s="110"/>
      <c r="T185" s="110"/>
      <c r="U185" s="110"/>
      <c r="V185" s="110"/>
      <c r="W185" s="110"/>
      <c r="X185" s="110"/>
      <c r="Y185" s="110"/>
      <c r="Z185" s="110"/>
      <c r="AA185" s="103"/>
      <c r="AB185" s="103">
        <f t="shared" si="53"/>
        <v>-100741</v>
      </c>
      <c r="AC185" s="103"/>
      <c r="AD185" s="103"/>
      <c r="AE185" s="104">
        <f t="shared" si="54"/>
        <v>-100741</v>
      </c>
      <c r="AF185" s="38"/>
      <c r="AG185" s="38"/>
      <c r="AH185" s="38"/>
    </row>
    <row r="186" spans="1:34" s="39" customFormat="1" ht="43.5" customHeight="1" hidden="1">
      <c r="A186" s="140"/>
      <c r="B186" s="101" t="s">
        <v>631</v>
      </c>
      <c r="C186" s="101" t="s">
        <v>202</v>
      </c>
      <c r="D186" s="101" t="s">
        <v>265</v>
      </c>
      <c r="E186" s="116" t="s">
        <v>203</v>
      </c>
      <c r="F186" s="80"/>
      <c r="G186" s="103"/>
      <c r="H186" s="110">
        <f>H187</f>
        <v>0</v>
      </c>
      <c r="I186" s="110">
        <f>I187</f>
        <v>0</v>
      </c>
      <c r="J186" s="110">
        <f>J187</f>
        <v>0</v>
      </c>
      <c r="K186" s="110">
        <f>K187</f>
        <v>0</v>
      </c>
      <c r="L186" s="110">
        <f>L187</f>
        <v>0</v>
      </c>
      <c r="M186" s="110">
        <f aca="true" t="shared" si="66" ref="M186:Z186">M187</f>
        <v>0</v>
      </c>
      <c r="N186" s="110">
        <f t="shared" si="66"/>
        <v>0</v>
      </c>
      <c r="O186" s="95">
        <f t="shared" si="66"/>
        <v>0</v>
      </c>
      <c r="P186" s="110">
        <f t="shared" si="66"/>
        <v>0</v>
      </c>
      <c r="Q186" s="110">
        <f t="shared" si="66"/>
        <v>0</v>
      </c>
      <c r="R186" s="110">
        <f t="shared" si="66"/>
        <v>0</v>
      </c>
      <c r="S186" s="110">
        <f t="shared" si="66"/>
        <v>0</v>
      </c>
      <c r="T186" s="110">
        <f t="shared" si="66"/>
        <v>0</v>
      </c>
      <c r="U186" s="110">
        <f t="shared" si="66"/>
        <v>0</v>
      </c>
      <c r="V186" s="110">
        <f t="shared" si="66"/>
        <v>0</v>
      </c>
      <c r="W186" s="110">
        <f t="shared" si="66"/>
        <v>0</v>
      </c>
      <c r="X186" s="110">
        <f t="shared" si="66"/>
        <v>0</v>
      </c>
      <c r="Y186" s="110">
        <f t="shared" si="66"/>
        <v>0</v>
      </c>
      <c r="Z186" s="110">
        <f t="shared" si="66"/>
        <v>0</v>
      </c>
      <c r="AA186" s="103"/>
      <c r="AB186" s="103">
        <f>SUM(G186:AA186)-O186</f>
        <v>0</v>
      </c>
      <c r="AC186" s="103"/>
      <c r="AD186" s="103"/>
      <c r="AE186" s="104">
        <f>SUM(AB186:AD186)</f>
        <v>0</v>
      </c>
      <c r="AF186" s="38"/>
      <c r="AG186" s="38"/>
      <c r="AH186" s="38"/>
    </row>
    <row r="187" spans="1:34" s="39" customFormat="1" ht="80.25" customHeight="1" hidden="1">
      <c r="A187" s="140"/>
      <c r="B187" s="101"/>
      <c r="C187" s="101"/>
      <c r="D187" s="107"/>
      <c r="E187" s="1" t="s">
        <v>227</v>
      </c>
      <c r="F187" s="80"/>
      <c r="G187" s="103"/>
      <c r="H187" s="110"/>
      <c r="I187" s="110"/>
      <c r="J187" s="110"/>
      <c r="K187" s="110"/>
      <c r="L187" s="110"/>
      <c r="M187" s="110"/>
      <c r="N187" s="110"/>
      <c r="O187" s="95"/>
      <c r="P187" s="110"/>
      <c r="Q187" s="110"/>
      <c r="R187" s="110"/>
      <c r="S187" s="110"/>
      <c r="T187" s="110"/>
      <c r="U187" s="110"/>
      <c r="V187" s="110"/>
      <c r="W187" s="110"/>
      <c r="X187" s="110"/>
      <c r="Y187" s="110"/>
      <c r="Z187" s="110"/>
      <c r="AA187" s="103"/>
      <c r="AB187" s="103">
        <f>SUM(G187:AA187)-O187</f>
        <v>0</v>
      </c>
      <c r="AC187" s="103"/>
      <c r="AD187" s="103"/>
      <c r="AE187" s="104">
        <f>SUM(AB187:AD187)</f>
        <v>0</v>
      </c>
      <c r="AF187" s="138"/>
      <c r="AG187" s="138"/>
      <c r="AH187" s="138"/>
    </row>
    <row r="188" spans="1:34" s="39" customFormat="1" ht="36.75" customHeight="1" hidden="1">
      <c r="A188" s="76" t="s">
        <v>344</v>
      </c>
      <c r="B188" s="101" t="s">
        <v>498</v>
      </c>
      <c r="C188" s="101" t="s">
        <v>494</v>
      </c>
      <c r="D188" s="101" t="s">
        <v>263</v>
      </c>
      <c r="E188" s="102" t="s">
        <v>495</v>
      </c>
      <c r="F188" s="80">
        <f t="shared" si="61"/>
        <v>0</v>
      </c>
      <c r="G188" s="103">
        <f>G189+G190</f>
        <v>0</v>
      </c>
      <c r="H188" s="103">
        <f aca="true" t="shared" si="67" ref="H188:AA188">H189+H190</f>
        <v>0</v>
      </c>
      <c r="I188" s="103">
        <f t="shared" si="67"/>
        <v>0</v>
      </c>
      <c r="J188" s="103">
        <f t="shared" si="67"/>
        <v>0</v>
      </c>
      <c r="K188" s="103">
        <f t="shared" si="67"/>
        <v>0</v>
      </c>
      <c r="L188" s="103">
        <f t="shared" si="67"/>
        <v>0</v>
      </c>
      <c r="M188" s="103">
        <f t="shared" si="67"/>
        <v>0</v>
      </c>
      <c r="N188" s="103">
        <f t="shared" si="67"/>
        <v>0</v>
      </c>
      <c r="O188" s="80">
        <f t="shared" si="67"/>
        <v>0</v>
      </c>
      <c r="P188" s="103">
        <f t="shared" si="67"/>
        <v>0</v>
      </c>
      <c r="Q188" s="103">
        <f t="shared" si="67"/>
        <v>0</v>
      </c>
      <c r="R188" s="103">
        <f t="shared" si="67"/>
        <v>0</v>
      </c>
      <c r="S188" s="103">
        <f t="shared" si="67"/>
        <v>0</v>
      </c>
      <c r="T188" s="103">
        <f t="shared" si="67"/>
        <v>0</v>
      </c>
      <c r="U188" s="103">
        <f t="shared" si="67"/>
        <v>0</v>
      </c>
      <c r="V188" s="103">
        <f t="shared" si="67"/>
        <v>0</v>
      </c>
      <c r="W188" s="103">
        <f t="shared" si="67"/>
        <v>0</v>
      </c>
      <c r="X188" s="103">
        <f t="shared" si="67"/>
        <v>0</v>
      </c>
      <c r="Y188" s="103">
        <f t="shared" si="67"/>
        <v>0</v>
      </c>
      <c r="Z188" s="103">
        <f t="shared" si="67"/>
        <v>0</v>
      </c>
      <c r="AA188" s="103">
        <f t="shared" si="67"/>
        <v>0</v>
      </c>
      <c r="AB188" s="103">
        <f t="shared" si="53"/>
        <v>0</v>
      </c>
      <c r="AC188" s="103"/>
      <c r="AD188" s="103"/>
      <c r="AE188" s="104">
        <f t="shared" si="54"/>
        <v>0</v>
      </c>
      <c r="AF188" s="38"/>
      <c r="AG188" s="38"/>
      <c r="AH188" s="38"/>
    </row>
    <row r="189" spans="1:34" s="39" customFormat="1" ht="198.75" customHeight="1" hidden="1">
      <c r="A189" s="76"/>
      <c r="B189" s="101"/>
      <c r="C189" s="101"/>
      <c r="D189" s="101"/>
      <c r="E189" s="108" t="s">
        <v>499</v>
      </c>
      <c r="F189" s="80">
        <f t="shared" si="61"/>
        <v>0</v>
      </c>
      <c r="G189" s="103"/>
      <c r="H189" s="110"/>
      <c r="I189" s="110"/>
      <c r="J189" s="110"/>
      <c r="K189" s="110"/>
      <c r="L189" s="110"/>
      <c r="M189" s="110"/>
      <c r="N189" s="110"/>
      <c r="O189" s="95"/>
      <c r="P189" s="110"/>
      <c r="Q189" s="110"/>
      <c r="R189" s="110"/>
      <c r="S189" s="110"/>
      <c r="T189" s="110"/>
      <c r="U189" s="110"/>
      <c r="V189" s="110"/>
      <c r="W189" s="110"/>
      <c r="X189" s="110"/>
      <c r="Y189" s="110"/>
      <c r="Z189" s="110"/>
      <c r="AA189" s="103"/>
      <c r="AB189" s="103">
        <f>SUM(G189:AA189)-O189</f>
        <v>0</v>
      </c>
      <c r="AC189" s="103"/>
      <c r="AD189" s="103"/>
      <c r="AE189" s="104">
        <f>SUM(AB189:AD189)</f>
        <v>0</v>
      </c>
      <c r="AF189" s="138"/>
      <c r="AG189" s="138"/>
      <c r="AH189" s="138"/>
    </row>
    <row r="190" spans="1:34" s="39" customFormat="1" ht="213" customHeight="1" hidden="1">
      <c r="A190" s="76"/>
      <c r="B190" s="101"/>
      <c r="C190" s="101"/>
      <c r="D190" s="101"/>
      <c r="E190" s="108" t="s">
        <v>629</v>
      </c>
      <c r="F190" s="80">
        <f t="shared" si="61"/>
        <v>0</v>
      </c>
      <c r="G190" s="103"/>
      <c r="H190" s="110"/>
      <c r="I190" s="110"/>
      <c r="J190" s="110"/>
      <c r="K190" s="110"/>
      <c r="L190" s="110"/>
      <c r="M190" s="110"/>
      <c r="N190" s="110"/>
      <c r="O190" s="95"/>
      <c r="P190" s="110"/>
      <c r="Q190" s="110"/>
      <c r="R190" s="110"/>
      <c r="S190" s="110"/>
      <c r="T190" s="110"/>
      <c r="U190" s="110"/>
      <c r="V190" s="110"/>
      <c r="W190" s="110"/>
      <c r="X190" s="110"/>
      <c r="Y190" s="110"/>
      <c r="Z190" s="110"/>
      <c r="AA190" s="103"/>
      <c r="AB190" s="103">
        <f>SUM(G190:AA190)-O190</f>
        <v>0</v>
      </c>
      <c r="AC190" s="103"/>
      <c r="AD190" s="103"/>
      <c r="AE190" s="104">
        <f>SUM(AB190:AD190)</f>
        <v>0</v>
      </c>
      <c r="AF190" s="138"/>
      <c r="AG190" s="138"/>
      <c r="AH190" s="138"/>
    </row>
    <row r="191" spans="1:34" s="39" customFormat="1" ht="56.25" customHeight="1" hidden="1">
      <c r="A191" s="76"/>
      <c r="B191" s="101" t="s">
        <v>626</v>
      </c>
      <c r="C191" s="101" t="s">
        <v>533</v>
      </c>
      <c r="D191" s="101" t="s">
        <v>263</v>
      </c>
      <c r="E191" s="102" t="s">
        <v>534</v>
      </c>
      <c r="F191" s="80">
        <f t="shared" si="61"/>
        <v>0</v>
      </c>
      <c r="G191" s="103"/>
      <c r="H191" s="110"/>
      <c r="I191" s="110">
        <f aca="true" t="shared" si="68" ref="I191:V191">I192</f>
        <v>0</v>
      </c>
      <c r="J191" s="110">
        <f t="shared" si="68"/>
        <v>0</v>
      </c>
      <c r="K191" s="110">
        <f t="shared" si="68"/>
        <v>0</v>
      </c>
      <c r="L191" s="110">
        <f t="shared" si="68"/>
        <v>0</v>
      </c>
      <c r="M191" s="110">
        <f t="shared" si="68"/>
        <v>0</v>
      </c>
      <c r="N191" s="110">
        <f t="shared" si="68"/>
        <v>0</v>
      </c>
      <c r="O191" s="95">
        <f t="shared" si="68"/>
        <v>0</v>
      </c>
      <c r="P191" s="110">
        <f t="shared" si="68"/>
        <v>0</v>
      </c>
      <c r="Q191" s="110">
        <f t="shared" si="68"/>
        <v>0</v>
      </c>
      <c r="R191" s="110">
        <f t="shared" si="68"/>
        <v>0</v>
      </c>
      <c r="S191" s="110">
        <f t="shared" si="68"/>
        <v>0</v>
      </c>
      <c r="T191" s="110">
        <f t="shared" si="68"/>
        <v>0</v>
      </c>
      <c r="U191" s="110">
        <f t="shared" si="68"/>
        <v>0</v>
      </c>
      <c r="V191" s="110">
        <f t="shared" si="68"/>
        <v>0</v>
      </c>
      <c r="W191" s="110">
        <f>W192</f>
        <v>0</v>
      </c>
      <c r="X191" s="110">
        <f>X192</f>
        <v>0</v>
      </c>
      <c r="Y191" s="110">
        <f>Y192</f>
        <v>0</v>
      </c>
      <c r="Z191" s="110">
        <f>Z192</f>
        <v>0</v>
      </c>
      <c r="AA191" s="110">
        <f>AA192</f>
        <v>0</v>
      </c>
      <c r="AB191" s="103">
        <f>SUM(G191:AA191)-O191</f>
        <v>0</v>
      </c>
      <c r="AC191" s="103"/>
      <c r="AD191" s="103"/>
      <c r="AE191" s="104">
        <f>SUM(AB191:AD191)</f>
        <v>0</v>
      </c>
      <c r="AF191" s="138"/>
      <c r="AG191" s="138"/>
      <c r="AH191" s="138"/>
    </row>
    <row r="192" spans="1:34" s="39" customFormat="1" ht="219.75" customHeight="1" hidden="1">
      <c r="A192" s="76"/>
      <c r="B192" s="101"/>
      <c r="C192" s="101"/>
      <c r="D192" s="101"/>
      <c r="E192" s="108" t="s">
        <v>630</v>
      </c>
      <c r="F192" s="80">
        <f t="shared" si="61"/>
        <v>0</v>
      </c>
      <c r="G192" s="103"/>
      <c r="H192" s="110"/>
      <c r="I192" s="110"/>
      <c r="J192" s="110"/>
      <c r="K192" s="110"/>
      <c r="L192" s="110"/>
      <c r="M192" s="110"/>
      <c r="N192" s="110"/>
      <c r="O192" s="95"/>
      <c r="P192" s="110"/>
      <c r="Q192" s="110"/>
      <c r="R192" s="110"/>
      <c r="S192" s="110"/>
      <c r="T192" s="110"/>
      <c r="U192" s="110"/>
      <c r="V192" s="110"/>
      <c r="W192" s="110"/>
      <c r="X192" s="110"/>
      <c r="Y192" s="110"/>
      <c r="Z192" s="110"/>
      <c r="AA192" s="103"/>
      <c r="AB192" s="103">
        <f>SUM(G192:AA192)-O192</f>
        <v>0</v>
      </c>
      <c r="AC192" s="103"/>
      <c r="AD192" s="103"/>
      <c r="AE192" s="104">
        <f>SUM(AB192:AD192)</f>
        <v>0</v>
      </c>
      <c r="AF192" s="138"/>
      <c r="AG192" s="138"/>
      <c r="AH192" s="138"/>
    </row>
    <row r="193" spans="1:36" s="206" customFormat="1" ht="30.75" customHeight="1">
      <c r="A193" s="136"/>
      <c r="B193" s="77"/>
      <c r="C193" s="77"/>
      <c r="D193" s="77"/>
      <c r="E193" s="166" t="s">
        <v>359</v>
      </c>
      <c r="F193" s="80">
        <f t="shared" si="61"/>
        <v>260959</v>
      </c>
      <c r="G193" s="203">
        <f aca="true" t="shared" si="69" ref="G193:AE193">G97+G100+G107+G114+G117+G120+G121+G129+G142+G145+G147+G150+G152+G153+G157+G161+G163+G165+G167+G170+G175+G178+G184+G188+G191+G186+G132+G127+G130</f>
        <v>179287</v>
      </c>
      <c r="H193" s="203">
        <f t="shared" si="69"/>
        <v>81672</v>
      </c>
      <c r="I193" s="203">
        <f t="shared" si="69"/>
        <v>-20085</v>
      </c>
      <c r="J193" s="203">
        <f t="shared" si="69"/>
        <v>0</v>
      </c>
      <c r="K193" s="203">
        <f t="shared" si="69"/>
        <v>-32200</v>
      </c>
      <c r="L193" s="203">
        <f t="shared" si="69"/>
        <v>-69378</v>
      </c>
      <c r="M193" s="203">
        <f t="shared" si="69"/>
        <v>-14940</v>
      </c>
      <c r="N193" s="203">
        <f t="shared" si="69"/>
        <v>0</v>
      </c>
      <c r="O193" s="203">
        <f t="shared" si="69"/>
        <v>0</v>
      </c>
      <c r="P193" s="203">
        <f t="shared" si="69"/>
        <v>-23000</v>
      </c>
      <c r="Q193" s="203">
        <f t="shared" si="69"/>
        <v>-5600</v>
      </c>
      <c r="R193" s="203">
        <f t="shared" si="69"/>
        <v>-15000</v>
      </c>
      <c r="S193" s="203">
        <f t="shared" si="69"/>
        <v>-900</v>
      </c>
      <c r="T193" s="203">
        <f t="shared" si="69"/>
        <v>0</v>
      </c>
      <c r="U193" s="203">
        <f t="shared" si="69"/>
        <v>-31858</v>
      </c>
      <c r="V193" s="203">
        <f t="shared" si="69"/>
        <v>2675996.4</v>
      </c>
      <c r="W193" s="203">
        <f t="shared" si="69"/>
        <v>0</v>
      </c>
      <c r="X193" s="203">
        <f t="shared" si="69"/>
        <v>0</v>
      </c>
      <c r="Y193" s="203">
        <f t="shared" si="69"/>
        <v>0</v>
      </c>
      <c r="Z193" s="203">
        <f>Z97+Z100+Z107+Z114+Z117+Z120+Z121+Z129+Z142+Z145+Z147+Z150+Z152+Z153+Z157+Z161+Z163+Z165+Z167+Z170+Z175+Z178+Z184+Z188+Z191+Z186+Z132+Z127+Z130</f>
        <v>-2039648</v>
      </c>
      <c r="AA193" s="203">
        <f>AA97+AA100+AA107+AA114+AA117+AA120+AA121+AA129+AA142+AA145+AA147+AA150+AA152+AA153+AA157+AA161+AA163+AA165+AA167+AA170+AA175+AA178+AA184+AA188+AA191+AA186+AA132+AA127+AA130</f>
        <v>-8000</v>
      </c>
      <c r="AB193" s="203">
        <f t="shared" si="69"/>
        <v>676346.3999999999</v>
      </c>
      <c r="AC193" s="203">
        <f t="shared" si="69"/>
        <v>0</v>
      </c>
      <c r="AD193" s="203">
        <f t="shared" si="69"/>
        <v>0</v>
      </c>
      <c r="AE193" s="203">
        <f t="shared" si="69"/>
        <v>676346.3999999999</v>
      </c>
      <c r="AF193" s="204"/>
      <c r="AG193" s="204"/>
      <c r="AH193" s="204"/>
      <c r="AI193" s="205"/>
      <c r="AJ193" s="205"/>
    </row>
    <row r="194" spans="1:34" s="39" customFormat="1" ht="63.75" customHeight="1">
      <c r="A194" s="136"/>
      <c r="B194" s="77" t="s">
        <v>93</v>
      </c>
      <c r="C194" s="77"/>
      <c r="D194" s="77"/>
      <c r="E194" s="134" t="s">
        <v>558</v>
      </c>
      <c r="F194" s="80">
        <f t="shared" si="61"/>
        <v>0</v>
      </c>
      <c r="G194" s="80"/>
      <c r="H194" s="95"/>
      <c r="I194" s="95"/>
      <c r="J194" s="95"/>
      <c r="K194" s="95"/>
      <c r="L194" s="95"/>
      <c r="M194" s="95"/>
      <c r="N194" s="95"/>
      <c r="O194" s="95"/>
      <c r="P194" s="95"/>
      <c r="Q194" s="95"/>
      <c r="R194" s="95"/>
      <c r="S194" s="95"/>
      <c r="T194" s="95"/>
      <c r="U194" s="95"/>
      <c r="V194" s="95"/>
      <c r="W194" s="95"/>
      <c r="X194" s="95"/>
      <c r="Y194" s="95"/>
      <c r="Z194" s="95"/>
      <c r="AA194" s="80"/>
      <c r="AB194" s="80"/>
      <c r="AC194" s="80"/>
      <c r="AD194" s="80"/>
      <c r="AE194" s="104"/>
      <c r="AF194" s="38"/>
      <c r="AG194" s="38"/>
      <c r="AH194" s="38"/>
    </row>
    <row r="195" spans="1:34" s="39" customFormat="1" ht="51" customHeight="1">
      <c r="A195" s="76"/>
      <c r="B195" s="101" t="s">
        <v>94</v>
      </c>
      <c r="C195" s="101"/>
      <c r="D195" s="101"/>
      <c r="E195" s="134" t="s">
        <v>558</v>
      </c>
      <c r="F195" s="80">
        <f t="shared" si="61"/>
        <v>0</v>
      </c>
      <c r="G195" s="80"/>
      <c r="H195" s="95"/>
      <c r="I195" s="95"/>
      <c r="J195" s="95"/>
      <c r="K195" s="95"/>
      <c r="L195" s="95"/>
      <c r="M195" s="95"/>
      <c r="N195" s="95"/>
      <c r="O195" s="95"/>
      <c r="P195" s="95"/>
      <c r="Q195" s="95"/>
      <c r="R195" s="95"/>
      <c r="S195" s="95"/>
      <c r="T195" s="95"/>
      <c r="U195" s="95"/>
      <c r="V195" s="95"/>
      <c r="W195" s="95"/>
      <c r="X195" s="95"/>
      <c r="Y195" s="95"/>
      <c r="Z195" s="95"/>
      <c r="AA195" s="80"/>
      <c r="AB195" s="80"/>
      <c r="AC195" s="80"/>
      <c r="AD195" s="80"/>
      <c r="AE195" s="104"/>
      <c r="AF195" s="38"/>
      <c r="AG195" s="38"/>
      <c r="AH195" s="38"/>
    </row>
    <row r="196" spans="1:34" s="39" customFormat="1" ht="81" customHeight="1">
      <c r="A196" s="76" t="s">
        <v>260</v>
      </c>
      <c r="B196" s="101" t="s">
        <v>95</v>
      </c>
      <c r="C196" s="101" t="s">
        <v>317</v>
      </c>
      <c r="D196" s="101" t="s">
        <v>261</v>
      </c>
      <c r="E196" s="116" t="s">
        <v>70</v>
      </c>
      <c r="F196" s="80">
        <f t="shared" si="61"/>
        <v>24944</v>
      </c>
      <c r="G196" s="103">
        <f>G197</f>
        <v>17571</v>
      </c>
      <c r="H196" s="103">
        <f>H197</f>
        <v>7373</v>
      </c>
      <c r="I196" s="103">
        <f>I197+I198</f>
        <v>0</v>
      </c>
      <c r="J196" s="103">
        <f aca="true" t="shared" si="70" ref="J196:Z196">J197+J198</f>
        <v>0</v>
      </c>
      <c r="K196" s="103">
        <f t="shared" si="70"/>
        <v>0</v>
      </c>
      <c r="L196" s="103">
        <f t="shared" si="70"/>
        <v>0</v>
      </c>
      <c r="M196" s="103">
        <f t="shared" si="70"/>
        <v>0</v>
      </c>
      <c r="N196" s="103">
        <f t="shared" si="70"/>
        <v>0</v>
      </c>
      <c r="O196" s="80">
        <f t="shared" si="70"/>
        <v>0</v>
      </c>
      <c r="P196" s="103">
        <f t="shared" si="70"/>
        <v>0</v>
      </c>
      <c r="Q196" s="103">
        <f t="shared" si="70"/>
        <v>0</v>
      </c>
      <c r="R196" s="103">
        <f t="shared" si="70"/>
        <v>0</v>
      </c>
      <c r="S196" s="103">
        <f t="shared" si="70"/>
        <v>0</v>
      </c>
      <c r="T196" s="103">
        <f t="shared" si="70"/>
        <v>0</v>
      </c>
      <c r="U196" s="103">
        <f t="shared" si="70"/>
        <v>0</v>
      </c>
      <c r="V196" s="103">
        <f t="shared" si="70"/>
        <v>0</v>
      </c>
      <c r="W196" s="103">
        <f t="shared" si="70"/>
        <v>0</v>
      </c>
      <c r="X196" s="103">
        <f t="shared" si="70"/>
        <v>0</v>
      </c>
      <c r="Y196" s="103">
        <f t="shared" si="70"/>
        <v>0</v>
      </c>
      <c r="Z196" s="103">
        <f t="shared" si="70"/>
        <v>0</v>
      </c>
      <c r="AA196" s="103">
        <f>AA197</f>
        <v>0</v>
      </c>
      <c r="AB196" s="103">
        <f>SUM(G196:AA196)-O196</f>
        <v>24944</v>
      </c>
      <c r="AC196" s="103"/>
      <c r="AD196" s="103"/>
      <c r="AE196" s="104">
        <f>SUM(AB196:AD196)</f>
        <v>24944</v>
      </c>
      <c r="AF196" s="207"/>
      <c r="AG196" s="207"/>
      <c r="AH196" s="207"/>
    </row>
    <row r="197" spans="1:34" s="39" customFormat="1" ht="58.5" customHeight="1">
      <c r="A197" s="76"/>
      <c r="B197" s="107"/>
      <c r="C197" s="107"/>
      <c r="D197" s="107"/>
      <c r="E197" s="1" t="s">
        <v>96</v>
      </c>
      <c r="F197" s="80">
        <f t="shared" si="61"/>
        <v>24944</v>
      </c>
      <c r="G197" s="103">
        <v>17571</v>
      </c>
      <c r="H197" s="110">
        <v>7373</v>
      </c>
      <c r="I197" s="110"/>
      <c r="J197" s="110"/>
      <c r="K197" s="110"/>
      <c r="L197" s="110"/>
      <c r="M197" s="110"/>
      <c r="N197" s="110"/>
      <c r="O197" s="95"/>
      <c r="P197" s="110"/>
      <c r="Q197" s="110"/>
      <c r="R197" s="110"/>
      <c r="S197" s="110"/>
      <c r="T197" s="110"/>
      <c r="U197" s="110"/>
      <c r="V197" s="110"/>
      <c r="W197" s="110"/>
      <c r="X197" s="110"/>
      <c r="Y197" s="110"/>
      <c r="Z197" s="110"/>
      <c r="AA197" s="103"/>
      <c r="AB197" s="103">
        <f aca="true" t="shared" si="71" ref="AB197:AB206">SUM(G197:AA197)-O197</f>
        <v>24944</v>
      </c>
      <c r="AC197" s="103"/>
      <c r="AD197" s="103"/>
      <c r="AE197" s="104">
        <f aca="true" t="shared" si="72" ref="AE197:AE206">SUM(AB197:AD197)</f>
        <v>24944</v>
      </c>
      <c r="AF197" s="141"/>
      <c r="AG197" s="207"/>
      <c r="AH197" s="207"/>
    </row>
    <row r="198" spans="1:34" s="39" customFormat="1" ht="78.75" customHeight="1" hidden="1">
      <c r="A198" s="76"/>
      <c r="B198" s="107"/>
      <c r="C198" s="107"/>
      <c r="D198" s="107"/>
      <c r="E198" s="1" t="s">
        <v>638</v>
      </c>
      <c r="F198" s="80"/>
      <c r="G198" s="103"/>
      <c r="H198" s="110"/>
      <c r="I198" s="110"/>
      <c r="J198" s="110"/>
      <c r="K198" s="110"/>
      <c r="L198" s="110"/>
      <c r="M198" s="110"/>
      <c r="N198" s="110"/>
      <c r="O198" s="95"/>
      <c r="P198" s="110"/>
      <c r="Q198" s="110"/>
      <c r="R198" s="110"/>
      <c r="S198" s="110"/>
      <c r="T198" s="110"/>
      <c r="U198" s="110"/>
      <c r="V198" s="110"/>
      <c r="W198" s="110"/>
      <c r="X198" s="110"/>
      <c r="Y198" s="110"/>
      <c r="Z198" s="110"/>
      <c r="AA198" s="103"/>
      <c r="AB198" s="103">
        <f t="shared" si="71"/>
        <v>0</v>
      </c>
      <c r="AC198" s="103"/>
      <c r="AD198" s="103"/>
      <c r="AE198" s="104">
        <f t="shared" si="72"/>
        <v>0</v>
      </c>
      <c r="AF198" s="138"/>
      <c r="AG198" s="138"/>
      <c r="AH198" s="138"/>
    </row>
    <row r="199" spans="1:34" s="39" customFormat="1" ht="100.5" customHeight="1">
      <c r="A199" s="76"/>
      <c r="B199" s="101" t="s">
        <v>590</v>
      </c>
      <c r="C199" s="101" t="s">
        <v>591</v>
      </c>
      <c r="D199" s="101" t="s">
        <v>275</v>
      </c>
      <c r="E199" s="116" t="s">
        <v>592</v>
      </c>
      <c r="F199" s="80">
        <f t="shared" si="61"/>
        <v>0</v>
      </c>
      <c r="G199" s="103">
        <f aca="true" t="shared" si="73" ref="G199:L199">SUM(G200:G205)</f>
        <v>0</v>
      </c>
      <c r="H199" s="103">
        <f t="shared" si="73"/>
        <v>0</v>
      </c>
      <c r="I199" s="103">
        <f t="shared" si="73"/>
        <v>21307</v>
      </c>
      <c r="J199" s="103">
        <f t="shared" si="73"/>
        <v>0</v>
      </c>
      <c r="K199" s="103">
        <f t="shared" si="73"/>
        <v>-20640</v>
      </c>
      <c r="L199" s="103">
        <f t="shared" si="73"/>
        <v>412</v>
      </c>
      <c r="M199" s="103">
        <f aca="true" t="shared" si="74" ref="M199:AA199">SUM(M200:M205)</f>
        <v>-51</v>
      </c>
      <c r="N199" s="103">
        <f t="shared" si="74"/>
        <v>0</v>
      </c>
      <c r="O199" s="103">
        <f t="shared" si="74"/>
        <v>0</v>
      </c>
      <c r="P199" s="103">
        <f t="shared" si="74"/>
        <v>-7500</v>
      </c>
      <c r="Q199" s="103">
        <f t="shared" si="74"/>
        <v>0</v>
      </c>
      <c r="R199" s="103">
        <f t="shared" si="74"/>
        <v>7500</v>
      </c>
      <c r="S199" s="103">
        <f t="shared" si="74"/>
        <v>0</v>
      </c>
      <c r="T199" s="103">
        <f t="shared" si="74"/>
        <v>0</v>
      </c>
      <c r="U199" s="103">
        <f t="shared" si="74"/>
        <v>-630</v>
      </c>
      <c r="V199" s="103">
        <f t="shared" si="74"/>
        <v>0</v>
      </c>
      <c r="W199" s="103">
        <f t="shared" si="74"/>
        <v>0</v>
      </c>
      <c r="X199" s="103">
        <f t="shared" si="74"/>
        <v>0</v>
      </c>
      <c r="Y199" s="103">
        <f t="shared" si="74"/>
        <v>0</v>
      </c>
      <c r="Z199" s="103">
        <f t="shared" si="74"/>
        <v>0</v>
      </c>
      <c r="AA199" s="103">
        <f t="shared" si="74"/>
        <v>0</v>
      </c>
      <c r="AB199" s="103">
        <f t="shared" si="71"/>
        <v>398</v>
      </c>
      <c r="AC199" s="103"/>
      <c r="AD199" s="103"/>
      <c r="AE199" s="104">
        <f t="shared" si="72"/>
        <v>398</v>
      </c>
      <c r="AF199" s="207"/>
      <c r="AG199" s="207"/>
      <c r="AH199" s="207"/>
    </row>
    <row r="200" spans="1:34" s="39" customFormat="1" ht="72" customHeight="1">
      <c r="A200" s="76"/>
      <c r="B200" s="101"/>
      <c r="C200" s="101"/>
      <c r="D200" s="101"/>
      <c r="E200" s="1" t="s">
        <v>743</v>
      </c>
      <c r="F200" s="80"/>
      <c r="G200" s="103"/>
      <c r="H200" s="103"/>
      <c r="I200" s="103">
        <v>2269</v>
      </c>
      <c r="J200" s="103"/>
      <c r="K200" s="103"/>
      <c r="L200" s="103">
        <v>-1588</v>
      </c>
      <c r="M200" s="103">
        <v>-51</v>
      </c>
      <c r="N200" s="103"/>
      <c r="O200" s="80"/>
      <c r="P200" s="103">
        <v>-7500</v>
      </c>
      <c r="Q200" s="103"/>
      <c r="R200" s="103">
        <v>7500</v>
      </c>
      <c r="S200" s="103"/>
      <c r="T200" s="103"/>
      <c r="U200" s="103">
        <v>-630</v>
      </c>
      <c r="V200" s="103"/>
      <c r="W200" s="103"/>
      <c r="X200" s="103"/>
      <c r="Y200" s="103"/>
      <c r="Z200" s="103"/>
      <c r="AA200" s="103"/>
      <c r="AB200" s="103">
        <f>SUM(G200:AA200)-O200</f>
        <v>0</v>
      </c>
      <c r="AC200" s="103"/>
      <c r="AD200" s="103"/>
      <c r="AE200" s="104">
        <f>SUM(AB200:AD200)</f>
        <v>0</v>
      </c>
      <c r="AF200" s="123"/>
      <c r="AG200" s="207"/>
      <c r="AH200" s="207"/>
    </row>
    <row r="201" spans="1:34" s="39" customFormat="1" ht="87" customHeight="1">
      <c r="A201" s="76"/>
      <c r="B201" s="101"/>
      <c r="C201" s="101"/>
      <c r="D201" s="101"/>
      <c r="E201" s="1" t="s">
        <v>744</v>
      </c>
      <c r="F201" s="80"/>
      <c r="G201" s="103"/>
      <c r="H201" s="103"/>
      <c r="I201" s="103">
        <v>9398</v>
      </c>
      <c r="J201" s="103"/>
      <c r="K201" s="103"/>
      <c r="L201" s="103"/>
      <c r="M201" s="103"/>
      <c r="N201" s="103"/>
      <c r="O201" s="80"/>
      <c r="P201" s="103"/>
      <c r="Q201" s="103"/>
      <c r="R201" s="103"/>
      <c r="S201" s="103"/>
      <c r="T201" s="103"/>
      <c r="U201" s="103"/>
      <c r="V201" s="103"/>
      <c r="W201" s="103"/>
      <c r="X201" s="103"/>
      <c r="Y201" s="103"/>
      <c r="Z201" s="103"/>
      <c r="AA201" s="103"/>
      <c r="AB201" s="103">
        <f>SUM(G201:AA201)-O201</f>
        <v>9398</v>
      </c>
      <c r="AC201" s="103"/>
      <c r="AD201" s="103"/>
      <c r="AE201" s="104">
        <f>SUM(AB201:AD201)</f>
        <v>9398</v>
      </c>
      <c r="AF201" s="123"/>
      <c r="AG201" s="207"/>
      <c r="AH201" s="207"/>
    </row>
    <row r="202" spans="1:34" s="39" customFormat="1" ht="48.75" customHeight="1">
      <c r="A202" s="76"/>
      <c r="B202" s="107"/>
      <c r="C202" s="101"/>
      <c r="D202" s="101"/>
      <c r="E202" s="1" t="s">
        <v>593</v>
      </c>
      <c r="F202" s="80">
        <f t="shared" si="61"/>
        <v>0</v>
      </c>
      <c r="G202" s="103"/>
      <c r="H202" s="110"/>
      <c r="I202" s="110">
        <v>9640</v>
      </c>
      <c r="J202" s="110"/>
      <c r="K202" s="110">
        <v>-20640</v>
      </c>
      <c r="L202" s="110">
        <v>2000</v>
      </c>
      <c r="M202" s="110"/>
      <c r="N202" s="110"/>
      <c r="O202" s="95"/>
      <c r="P202" s="110"/>
      <c r="Q202" s="110"/>
      <c r="R202" s="110"/>
      <c r="S202" s="110"/>
      <c r="T202" s="110"/>
      <c r="U202" s="110"/>
      <c r="V202" s="110"/>
      <c r="W202" s="110"/>
      <c r="X202" s="110"/>
      <c r="Y202" s="110"/>
      <c r="Z202" s="110"/>
      <c r="AA202" s="103"/>
      <c r="AB202" s="103">
        <f t="shared" si="71"/>
        <v>-9000</v>
      </c>
      <c r="AC202" s="103"/>
      <c r="AD202" s="103"/>
      <c r="AE202" s="104">
        <f t="shared" si="72"/>
        <v>-9000</v>
      </c>
      <c r="AF202" s="141"/>
      <c r="AG202" s="141"/>
      <c r="AH202" s="141"/>
    </row>
    <row r="203" spans="1:34" s="39" customFormat="1" ht="73.5" customHeight="1" hidden="1">
      <c r="A203" s="76"/>
      <c r="B203" s="107"/>
      <c r="C203" s="101"/>
      <c r="D203" s="101"/>
      <c r="E203" s="1" t="s">
        <v>634</v>
      </c>
      <c r="F203" s="80"/>
      <c r="G203" s="103"/>
      <c r="H203" s="110"/>
      <c r="I203" s="110"/>
      <c r="J203" s="110"/>
      <c r="K203" s="110"/>
      <c r="L203" s="110"/>
      <c r="M203" s="110"/>
      <c r="N203" s="110"/>
      <c r="O203" s="95"/>
      <c r="P203" s="110"/>
      <c r="Q203" s="110"/>
      <c r="R203" s="110"/>
      <c r="S203" s="110"/>
      <c r="T203" s="110"/>
      <c r="U203" s="110"/>
      <c r="V203" s="110"/>
      <c r="W203" s="110"/>
      <c r="X203" s="110"/>
      <c r="Y203" s="110"/>
      <c r="Z203" s="110"/>
      <c r="AA203" s="103"/>
      <c r="AB203" s="103">
        <f>SUM(G203:AA203)-O203</f>
        <v>0</v>
      </c>
      <c r="AC203" s="103"/>
      <c r="AD203" s="103"/>
      <c r="AE203" s="104">
        <f>SUM(AB203:AD203)</f>
        <v>0</v>
      </c>
      <c r="AF203" s="208"/>
      <c r="AG203" s="208"/>
      <c r="AH203" s="208"/>
    </row>
    <row r="204" spans="1:34" s="39" customFormat="1" ht="69" customHeight="1" hidden="1">
      <c r="A204" s="76"/>
      <c r="B204" s="107"/>
      <c r="C204" s="101"/>
      <c r="D204" s="101"/>
      <c r="E204" s="1" t="s">
        <v>652</v>
      </c>
      <c r="F204" s="80"/>
      <c r="G204" s="103"/>
      <c r="H204" s="110"/>
      <c r="I204" s="110"/>
      <c r="J204" s="110"/>
      <c r="K204" s="110"/>
      <c r="L204" s="110"/>
      <c r="M204" s="110"/>
      <c r="N204" s="110"/>
      <c r="O204" s="95"/>
      <c r="P204" s="110"/>
      <c r="Q204" s="110"/>
      <c r="R204" s="110"/>
      <c r="S204" s="110"/>
      <c r="T204" s="110"/>
      <c r="U204" s="110"/>
      <c r="V204" s="110"/>
      <c r="W204" s="110"/>
      <c r="X204" s="110"/>
      <c r="Y204" s="110"/>
      <c r="Z204" s="110"/>
      <c r="AA204" s="103"/>
      <c r="AB204" s="103">
        <f>SUM(G204:AA204)-O204</f>
        <v>0</v>
      </c>
      <c r="AC204" s="103"/>
      <c r="AD204" s="103"/>
      <c r="AE204" s="104">
        <f>SUM(AB204:AD204)</f>
        <v>0</v>
      </c>
      <c r="AF204" s="208"/>
      <c r="AG204" s="208"/>
      <c r="AH204" s="208"/>
    </row>
    <row r="205" spans="1:34" s="39" customFormat="1" ht="93.75" customHeight="1" hidden="1">
      <c r="A205" s="76"/>
      <c r="B205" s="107"/>
      <c r="C205" s="101"/>
      <c r="D205" s="101"/>
      <c r="E205" s="1" t="s">
        <v>594</v>
      </c>
      <c r="F205" s="80">
        <f t="shared" si="61"/>
        <v>0</v>
      </c>
      <c r="G205" s="103"/>
      <c r="H205" s="110"/>
      <c r="I205" s="110"/>
      <c r="J205" s="110"/>
      <c r="K205" s="110"/>
      <c r="L205" s="110"/>
      <c r="M205" s="110"/>
      <c r="N205" s="110"/>
      <c r="O205" s="95"/>
      <c r="P205" s="110"/>
      <c r="Q205" s="110"/>
      <c r="R205" s="110"/>
      <c r="S205" s="110"/>
      <c r="T205" s="110"/>
      <c r="U205" s="110"/>
      <c r="V205" s="110"/>
      <c r="W205" s="110"/>
      <c r="X205" s="110"/>
      <c r="Y205" s="110"/>
      <c r="Z205" s="110"/>
      <c r="AA205" s="103"/>
      <c r="AB205" s="103">
        <f t="shared" si="71"/>
        <v>0</v>
      </c>
      <c r="AC205" s="103"/>
      <c r="AD205" s="103"/>
      <c r="AE205" s="104">
        <f t="shared" si="72"/>
        <v>0</v>
      </c>
      <c r="AF205" s="207"/>
      <c r="AG205" s="207"/>
      <c r="AH205" s="207"/>
    </row>
    <row r="206" spans="1:34" s="189" customFormat="1" ht="75" customHeight="1" hidden="1">
      <c r="A206" s="76" t="s">
        <v>343</v>
      </c>
      <c r="B206" s="101" t="s">
        <v>390</v>
      </c>
      <c r="C206" s="101" t="s">
        <v>391</v>
      </c>
      <c r="D206" s="101" t="s">
        <v>275</v>
      </c>
      <c r="E206" s="116" t="s">
        <v>412</v>
      </c>
      <c r="F206" s="80">
        <f t="shared" si="61"/>
        <v>0</v>
      </c>
      <c r="G206" s="172"/>
      <c r="H206" s="173"/>
      <c r="I206" s="173"/>
      <c r="J206" s="173"/>
      <c r="K206" s="173"/>
      <c r="L206" s="173"/>
      <c r="M206" s="173"/>
      <c r="N206" s="173"/>
      <c r="O206" s="174">
        <f>SUM(P206:R206)</f>
        <v>0</v>
      </c>
      <c r="P206" s="173"/>
      <c r="Q206" s="173"/>
      <c r="R206" s="173"/>
      <c r="S206" s="173"/>
      <c r="T206" s="173"/>
      <c r="U206" s="173"/>
      <c r="V206" s="173"/>
      <c r="W206" s="173"/>
      <c r="X206" s="173"/>
      <c r="Y206" s="173"/>
      <c r="Z206" s="173"/>
      <c r="AA206" s="172"/>
      <c r="AB206" s="103">
        <f t="shared" si="71"/>
        <v>0</v>
      </c>
      <c r="AC206" s="103"/>
      <c r="AD206" s="103"/>
      <c r="AE206" s="104">
        <f t="shared" si="72"/>
        <v>0</v>
      </c>
      <c r="AF206" s="194"/>
      <c r="AG206" s="194"/>
      <c r="AH206" s="194"/>
    </row>
    <row r="207" spans="1:34" s="39" customFormat="1" ht="42" customHeight="1">
      <c r="A207" s="136"/>
      <c r="B207" s="77"/>
      <c r="C207" s="77"/>
      <c r="D207" s="77"/>
      <c r="E207" s="166" t="s">
        <v>359</v>
      </c>
      <c r="F207" s="80">
        <f t="shared" si="61"/>
        <v>24944</v>
      </c>
      <c r="G207" s="167">
        <f aca="true" t="shared" si="75" ref="G207:AE207">G196+G206+G199</f>
        <v>17571</v>
      </c>
      <c r="H207" s="167">
        <f t="shared" si="75"/>
        <v>7373</v>
      </c>
      <c r="I207" s="167">
        <f t="shared" si="75"/>
        <v>21307</v>
      </c>
      <c r="J207" s="167">
        <f t="shared" si="75"/>
        <v>0</v>
      </c>
      <c r="K207" s="167">
        <f t="shared" si="75"/>
        <v>-20640</v>
      </c>
      <c r="L207" s="167">
        <f t="shared" si="75"/>
        <v>412</v>
      </c>
      <c r="M207" s="167">
        <f t="shared" si="75"/>
        <v>-51</v>
      </c>
      <c r="N207" s="167">
        <f t="shared" si="75"/>
        <v>0</v>
      </c>
      <c r="O207" s="84">
        <f t="shared" si="75"/>
        <v>0</v>
      </c>
      <c r="P207" s="167">
        <f t="shared" si="75"/>
        <v>-7500</v>
      </c>
      <c r="Q207" s="167">
        <f t="shared" si="75"/>
        <v>0</v>
      </c>
      <c r="R207" s="167">
        <f t="shared" si="75"/>
        <v>7500</v>
      </c>
      <c r="S207" s="167">
        <f t="shared" si="75"/>
        <v>0</v>
      </c>
      <c r="T207" s="167">
        <f t="shared" si="75"/>
        <v>0</v>
      </c>
      <c r="U207" s="167">
        <f t="shared" si="75"/>
        <v>-630</v>
      </c>
      <c r="V207" s="167">
        <f t="shared" si="75"/>
        <v>0</v>
      </c>
      <c r="W207" s="167">
        <f t="shared" si="75"/>
        <v>0</v>
      </c>
      <c r="X207" s="167">
        <f t="shared" si="75"/>
        <v>0</v>
      </c>
      <c r="Y207" s="167">
        <f t="shared" si="75"/>
        <v>0</v>
      </c>
      <c r="Z207" s="167">
        <f t="shared" si="75"/>
        <v>0</v>
      </c>
      <c r="AA207" s="167">
        <f t="shared" si="75"/>
        <v>0</v>
      </c>
      <c r="AB207" s="167">
        <f t="shared" si="75"/>
        <v>25342</v>
      </c>
      <c r="AC207" s="167">
        <f t="shared" si="75"/>
        <v>0</v>
      </c>
      <c r="AD207" s="167">
        <f t="shared" si="75"/>
        <v>0</v>
      </c>
      <c r="AE207" s="104">
        <f t="shared" si="75"/>
        <v>25342</v>
      </c>
      <c r="AF207" s="128"/>
      <c r="AG207" s="128"/>
      <c r="AH207" s="128"/>
    </row>
    <row r="208" spans="1:34" s="39" customFormat="1" ht="48" customHeight="1">
      <c r="A208" s="136"/>
      <c r="B208" s="77" t="s">
        <v>360</v>
      </c>
      <c r="C208" s="77"/>
      <c r="D208" s="77"/>
      <c r="E208" s="78" t="s">
        <v>745</v>
      </c>
      <c r="F208" s="80">
        <f t="shared" si="61"/>
        <v>0</v>
      </c>
      <c r="G208" s="103"/>
      <c r="H208" s="110"/>
      <c r="I208" s="110"/>
      <c r="J208" s="110"/>
      <c r="K208" s="110"/>
      <c r="L208" s="110"/>
      <c r="M208" s="110"/>
      <c r="N208" s="110"/>
      <c r="O208" s="95"/>
      <c r="P208" s="110"/>
      <c r="Q208" s="110"/>
      <c r="R208" s="110"/>
      <c r="S208" s="110"/>
      <c r="T208" s="110"/>
      <c r="U208" s="110"/>
      <c r="V208" s="110"/>
      <c r="W208" s="110"/>
      <c r="X208" s="110"/>
      <c r="Y208" s="110"/>
      <c r="Z208" s="110"/>
      <c r="AA208" s="103"/>
      <c r="AB208" s="103"/>
      <c r="AC208" s="103"/>
      <c r="AD208" s="103"/>
      <c r="AE208" s="104"/>
      <c r="AF208" s="38"/>
      <c r="AG208" s="38"/>
      <c r="AH208" s="38"/>
    </row>
    <row r="209" spans="1:34" s="39" customFormat="1" ht="45" customHeight="1">
      <c r="A209" s="136"/>
      <c r="B209" s="93" t="s">
        <v>361</v>
      </c>
      <c r="C209" s="77"/>
      <c r="D209" s="77"/>
      <c r="E209" s="78" t="s">
        <v>554</v>
      </c>
      <c r="F209" s="80">
        <f t="shared" si="61"/>
        <v>0</v>
      </c>
      <c r="G209" s="103"/>
      <c r="H209" s="103"/>
      <c r="I209" s="103"/>
      <c r="J209" s="103"/>
      <c r="K209" s="103"/>
      <c r="L209" s="103"/>
      <c r="M209" s="209"/>
      <c r="N209" s="103"/>
      <c r="O209" s="80"/>
      <c r="P209" s="103"/>
      <c r="Q209" s="103"/>
      <c r="R209" s="103"/>
      <c r="S209" s="103"/>
      <c r="T209" s="103"/>
      <c r="U209" s="103"/>
      <c r="V209" s="103"/>
      <c r="W209" s="103"/>
      <c r="X209" s="103"/>
      <c r="Y209" s="103"/>
      <c r="Z209" s="103"/>
      <c r="AA209" s="103"/>
      <c r="AB209" s="103"/>
      <c r="AC209" s="103"/>
      <c r="AD209" s="103"/>
      <c r="AE209" s="104"/>
      <c r="AF209" s="38"/>
      <c r="AG209" s="38"/>
      <c r="AH209" s="38"/>
    </row>
    <row r="210" spans="1:34" s="39" customFormat="1" ht="59.25" customHeight="1">
      <c r="A210" s="76" t="s">
        <v>260</v>
      </c>
      <c r="B210" s="101" t="s">
        <v>97</v>
      </c>
      <c r="C210" s="101" t="s">
        <v>317</v>
      </c>
      <c r="D210" s="101" t="s">
        <v>261</v>
      </c>
      <c r="E210" s="116" t="s">
        <v>454</v>
      </c>
      <c r="F210" s="80">
        <f t="shared" si="61"/>
        <v>0</v>
      </c>
      <c r="G210" s="103">
        <f>G211</f>
        <v>0</v>
      </c>
      <c r="H210" s="103">
        <f>H211</f>
        <v>0</v>
      </c>
      <c r="I210" s="103">
        <f aca="true" t="shared" si="76" ref="I210:Z210">I211+I212</f>
        <v>15000</v>
      </c>
      <c r="J210" s="103">
        <f t="shared" si="76"/>
        <v>0</v>
      </c>
      <c r="K210" s="103">
        <f t="shared" si="76"/>
        <v>0</v>
      </c>
      <c r="L210" s="103">
        <f t="shared" si="76"/>
        <v>2000</v>
      </c>
      <c r="M210" s="103">
        <f t="shared" si="76"/>
        <v>0</v>
      </c>
      <c r="N210" s="103">
        <f t="shared" si="76"/>
        <v>0</v>
      </c>
      <c r="O210" s="80">
        <f t="shared" si="76"/>
        <v>0</v>
      </c>
      <c r="P210" s="103">
        <f t="shared" si="76"/>
        <v>0</v>
      </c>
      <c r="Q210" s="103">
        <f t="shared" si="76"/>
        <v>0</v>
      </c>
      <c r="R210" s="103">
        <f t="shared" si="76"/>
        <v>-2000</v>
      </c>
      <c r="S210" s="103">
        <f t="shared" si="76"/>
        <v>0</v>
      </c>
      <c r="T210" s="103">
        <f t="shared" si="76"/>
        <v>0</v>
      </c>
      <c r="U210" s="103">
        <f t="shared" si="76"/>
        <v>0</v>
      </c>
      <c r="V210" s="103">
        <f t="shared" si="76"/>
        <v>0</v>
      </c>
      <c r="W210" s="103">
        <f t="shared" si="76"/>
        <v>0</v>
      </c>
      <c r="X210" s="103">
        <f t="shared" si="76"/>
        <v>0</v>
      </c>
      <c r="Y210" s="103">
        <f t="shared" si="76"/>
        <v>0</v>
      </c>
      <c r="Z210" s="103">
        <f t="shared" si="76"/>
        <v>0</v>
      </c>
      <c r="AA210" s="103">
        <f>AA211</f>
        <v>0</v>
      </c>
      <c r="AB210" s="103">
        <f aca="true" t="shared" si="77" ref="AB210:AB251">SUM(G210:AA210)-O210</f>
        <v>15000</v>
      </c>
      <c r="AC210" s="103"/>
      <c r="AD210" s="103"/>
      <c r="AE210" s="104">
        <f aca="true" t="shared" si="78" ref="AE210:AE251">SUM(AB210:AD210)</f>
        <v>15000</v>
      </c>
      <c r="AF210" s="123"/>
      <c r="AG210" s="123"/>
      <c r="AH210" s="123"/>
    </row>
    <row r="211" spans="1:34" s="39" customFormat="1" ht="45.75" customHeight="1">
      <c r="A211" s="76"/>
      <c r="B211" s="107"/>
      <c r="C211" s="107"/>
      <c r="D211" s="107"/>
      <c r="E211" s="1" t="s">
        <v>98</v>
      </c>
      <c r="F211" s="80">
        <f t="shared" si="61"/>
        <v>0</v>
      </c>
      <c r="G211" s="103"/>
      <c r="H211" s="103"/>
      <c r="I211" s="103">
        <v>15000</v>
      </c>
      <c r="J211" s="103"/>
      <c r="K211" s="103"/>
      <c r="L211" s="103">
        <v>2000</v>
      </c>
      <c r="M211" s="209"/>
      <c r="N211" s="103"/>
      <c r="O211" s="80"/>
      <c r="P211" s="103"/>
      <c r="Q211" s="103"/>
      <c r="R211" s="103">
        <v>-2000</v>
      </c>
      <c r="S211" s="103"/>
      <c r="T211" s="103"/>
      <c r="U211" s="103"/>
      <c r="V211" s="103"/>
      <c r="W211" s="103"/>
      <c r="X211" s="103"/>
      <c r="Y211" s="103"/>
      <c r="Z211" s="103"/>
      <c r="AA211" s="103"/>
      <c r="AB211" s="103">
        <f t="shared" si="77"/>
        <v>15000</v>
      </c>
      <c r="AC211" s="103"/>
      <c r="AD211" s="103"/>
      <c r="AE211" s="104">
        <f t="shared" si="78"/>
        <v>15000</v>
      </c>
      <c r="AF211" s="123"/>
      <c r="AG211" s="210"/>
      <c r="AH211" s="210"/>
    </row>
    <row r="212" spans="1:34" s="39" customFormat="1" ht="81" customHeight="1" hidden="1">
      <c r="A212" s="76"/>
      <c r="B212" s="107"/>
      <c r="C212" s="107"/>
      <c r="D212" s="107"/>
      <c r="E212" s="1" t="s">
        <v>638</v>
      </c>
      <c r="F212" s="80"/>
      <c r="G212" s="103"/>
      <c r="H212" s="103"/>
      <c r="I212" s="103"/>
      <c r="J212" s="103"/>
      <c r="K212" s="103"/>
      <c r="L212" s="103"/>
      <c r="M212" s="209"/>
      <c r="N212" s="103"/>
      <c r="O212" s="80"/>
      <c r="P212" s="103"/>
      <c r="Q212" s="103"/>
      <c r="R212" s="103"/>
      <c r="S212" s="103"/>
      <c r="T212" s="103"/>
      <c r="U212" s="103"/>
      <c r="V212" s="103"/>
      <c r="W212" s="103"/>
      <c r="X212" s="103"/>
      <c r="Y212" s="103"/>
      <c r="Z212" s="103"/>
      <c r="AA212" s="103"/>
      <c r="AB212" s="103">
        <f>SUM(G212:AA212)-O212</f>
        <v>0</v>
      </c>
      <c r="AC212" s="103"/>
      <c r="AD212" s="103"/>
      <c r="AE212" s="104">
        <f>SUM(AB212:AD212)</f>
        <v>0</v>
      </c>
      <c r="AF212" s="210"/>
      <c r="AG212" s="210"/>
      <c r="AH212" s="210"/>
    </row>
    <row r="213" spans="1:34" s="39" customFormat="1" ht="45" customHeight="1">
      <c r="A213" s="76"/>
      <c r="B213" s="101" t="s">
        <v>148</v>
      </c>
      <c r="C213" s="101" t="s">
        <v>149</v>
      </c>
      <c r="D213" s="101" t="s">
        <v>287</v>
      </c>
      <c r="E213" s="102" t="s">
        <v>681</v>
      </c>
      <c r="F213" s="80">
        <f t="shared" si="61"/>
        <v>0</v>
      </c>
      <c r="G213" s="103">
        <f>G214</f>
        <v>0</v>
      </c>
      <c r="H213" s="103">
        <f>H214</f>
        <v>0</v>
      </c>
      <c r="I213" s="103">
        <f>I214+I215</f>
        <v>83740</v>
      </c>
      <c r="J213" s="103">
        <f aca="true" t="shared" si="79" ref="J213:Z213">J214+J215</f>
        <v>0</v>
      </c>
      <c r="K213" s="103">
        <f t="shared" si="79"/>
        <v>0</v>
      </c>
      <c r="L213" s="103">
        <f t="shared" si="79"/>
        <v>-42140</v>
      </c>
      <c r="M213" s="103">
        <f t="shared" si="79"/>
        <v>-14000</v>
      </c>
      <c r="N213" s="103">
        <f t="shared" si="79"/>
        <v>0</v>
      </c>
      <c r="O213" s="80">
        <f t="shared" si="79"/>
        <v>0</v>
      </c>
      <c r="P213" s="103">
        <f t="shared" si="79"/>
        <v>0</v>
      </c>
      <c r="Q213" s="103">
        <f t="shared" si="79"/>
        <v>0</v>
      </c>
      <c r="R213" s="103">
        <f t="shared" si="79"/>
        <v>0</v>
      </c>
      <c r="S213" s="103">
        <f t="shared" si="79"/>
        <v>0</v>
      </c>
      <c r="T213" s="103">
        <f t="shared" si="79"/>
        <v>0</v>
      </c>
      <c r="U213" s="103">
        <f t="shared" si="79"/>
        <v>0</v>
      </c>
      <c r="V213" s="103">
        <f t="shared" si="79"/>
        <v>0</v>
      </c>
      <c r="W213" s="103">
        <f t="shared" si="79"/>
        <v>0</v>
      </c>
      <c r="X213" s="103">
        <f t="shared" si="79"/>
        <v>0</v>
      </c>
      <c r="Y213" s="103">
        <f t="shared" si="79"/>
        <v>0</v>
      </c>
      <c r="Z213" s="103">
        <f t="shared" si="79"/>
        <v>0</v>
      </c>
      <c r="AA213" s="103">
        <f>AA214</f>
        <v>0</v>
      </c>
      <c r="AB213" s="103">
        <f t="shared" si="77"/>
        <v>27600</v>
      </c>
      <c r="AC213" s="103"/>
      <c r="AD213" s="103"/>
      <c r="AE213" s="104">
        <f t="shared" si="78"/>
        <v>27600</v>
      </c>
      <c r="AF213" s="123"/>
      <c r="AG213" s="123"/>
      <c r="AH213" s="123"/>
    </row>
    <row r="214" spans="1:34" s="39" customFormat="1" ht="38.25" customHeight="1">
      <c r="A214" s="76"/>
      <c r="B214" s="107"/>
      <c r="C214" s="107"/>
      <c r="D214" s="107"/>
      <c r="E214" s="1" t="s">
        <v>564</v>
      </c>
      <c r="F214" s="80">
        <f t="shared" si="61"/>
        <v>0</v>
      </c>
      <c r="G214" s="103"/>
      <c r="H214" s="103"/>
      <c r="I214" s="103">
        <f>14000+14740+55000</f>
        <v>83740</v>
      </c>
      <c r="J214" s="103"/>
      <c r="K214" s="103"/>
      <c r="L214" s="103">
        <f>-28140-14000</f>
        <v>-42140</v>
      </c>
      <c r="M214" s="209">
        <v>-14000</v>
      </c>
      <c r="N214" s="103"/>
      <c r="O214" s="80"/>
      <c r="P214" s="103"/>
      <c r="Q214" s="103"/>
      <c r="R214" s="103"/>
      <c r="S214" s="103"/>
      <c r="T214" s="103"/>
      <c r="U214" s="103"/>
      <c r="V214" s="103"/>
      <c r="W214" s="103"/>
      <c r="X214" s="103"/>
      <c r="Y214" s="103"/>
      <c r="Z214" s="103"/>
      <c r="AA214" s="103"/>
      <c r="AB214" s="103">
        <f t="shared" si="77"/>
        <v>27600</v>
      </c>
      <c r="AC214" s="103"/>
      <c r="AD214" s="103"/>
      <c r="AE214" s="104">
        <f t="shared" si="78"/>
        <v>27600</v>
      </c>
      <c r="AF214" s="123"/>
      <c r="AG214" s="123"/>
      <c r="AH214" s="123"/>
    </row>
    <row r="215" spans="1:34" s="39" customFormat="1" ht="79.5" customHeight="1" hidden="1">
      <c r="A215" s="76"/>
      <c r="B215" s="107"/>
      <c r="C215" s="107"/>
      <c r="D215" s="107"/>
      <c r="E215" s="1" t="s">
        <v>638</v>
      </c>
      <c r="F215" s="80"/>
      <c r="G215" s="103"/>
      <c r="H215" s="103"/>
      <c r="I215" s="103"/>
      <c r="J215" s="103"/>
      <c r="K215" s="103"/>
      <c r="L215" s="103"/>
      <c r="M215" s="209"/>
      <c r="N215" s="103"/>
      <c r="O215" s="80"/>
      <c r="P215" s="103"/>
      <c r="Q215" s="103"/>
      <c r="R215" s="103"/>
      <c r="S215" s="103"/>
      <c r="T215" s="103"/>
      <c r="U215" s="103"/>
      <c r="V215" s="103"/>
      <c r="W215" s="103"/>
      <c r="X215" s="103"/>
      <c r="Y215" s="103"/>
      <c r="Z215" s="103"/>
      <c r="AA215" s="103"/>
      <c r="AB215" s="103">
        <f>SUM(G215:AA215)-O215</f>
        <v>0</v>
      </c>
      <c r="AC215" s="103"/>
      <c r="AD215" s="103"/>
      <c r="AE215" s="104">
        <f>SUM(AB215:AD215)</f>
        <v>0</v>
      </c>
      <c r="AF215" s="123"/>
      <c r="AG215" s="123"/>
      <c r="AH215" s="123"/>
    </row>
    <row r="216" spans="1:34" s="189" customFormat="1" ht="30.75" customHeight="1">
      <c r="A216" s="76" t="s">
        <v>392</v>
      </c>
      <c r="B216" s="101" t="s">
        <v>151</v>
      </c>
      <c r="C216" s="101" t="s">
        <v>152</v>
      </c>
      <c r="D216" s="101" t="s">
        <v>275</v>
      </c>
      <c r="E216" s="116" t="s">
        <v>153</v>
      </c>
      <c r="F216" s="80">
        <f t="shared" si="61"/>
        <v>0</v>
      </c>
      <c r="G216" s="172">
        <f>G217</f>
        <v>0</v>
      </c>
      <c r="H216" s="172">
        <f>H217</f>
        <v>0</v>
      </c>
      <c r="I216" s="172">
        <f aca="true" t="shared" si="80" ref="I216:T216">I217</f>
        <v>-18000</v>
      </c>
      <c r="J216" s="172">
        <f t="shared" si="80"/>
        <v>0</v>
      </c>
      <c r="K216" s="172">
        <f t="shared" si="80"/>
        <v>0</v>
      </c>
      <c r="L216" s="172">
        <f t="shared" si="80"/>
        <v>0</v>
      </c>
      <c r="M216" s="172">
        <f t="shared" si="80"/>
        <v>0</v>
      </c>
      <c r="N216" s="172">
        <f t="shared" si="80"/>
        <v>0</v>
      </c>
      <c r="O216" s="172">
        <f t="shared" si="80"/>
        <v>0</v>
      </c>
      <c r="P216" s="172">
        <f t="shared" si="80"/>
        <v>0</v>
      </c>
      <c r="Q216" s="172">
        <f t="shared" si="80"/>
        <v>0</v>
      </c>
      <c r="R216" s="172">
        <f t="shared" si="80"/>
        <v>0</v>
      </c>
      <c r="S216" s="172">
        <f t="shared" si="80"/>
        <v>0</v>
      </c>
      <c r="T216" s="172">
        <f t="shared" si="80"/>
        <v>0</v>
      </c>
      <c r="U216" s="172">
        <f aca="true" t="shared" si="81" ref="U216:AA216">U217</f>
        <v>0</v>
      </c>
      <c r="V216" s="172">
        <f t="shared" si="81"/>
        <v>0</v>
      </c>
      <c r="W216" s="172">
        <f t="shared" si="81"/>
        <v>0</v>
      </c>
      <c r="X216" s="172">
        <f t="shared" si="81"/>
        <v>0</v>
      </c>
      <c r="Y216" s="172">
        <f t="shared" si="81"/>
        <v>0</v>
      </c>
      <c r="Z216" s="172">
        <f t="shared" si="81"/>
        <v>0</v>
      </c>
      <c r="AA216" s="172">
        <f t="shared" si="81"/>
        <v>0</v>
      </c>
      <c r="AB216" s="172">
        <f t="shared" si="77"/>
        <v>-18000</v>
      </c>
      <c r="AC216" s="172">
        <f>AC217</f>
        <v>0</v>
      </c>
      <c r="AD216" s="172">
        <f>AD217</f>
        <v>0</v>
      </c>
      <c r="AE216" s="187">
        <f t="shared" si="78"/>
        <v>-18000</v>
      </c>
      <c r="AF216" s="200"/>
      <c r="AG216" s="200"/>
      <c r="AH216" s="200"/>
    </row>
    <row r="217" spans="1:34" s="39" customFormat="1" ht="56.25" customHeight="1">
      <c r="A217" s="140"/>
      <c r="B217" s="107"/>
      <c r="C217" s="107"/>
      <c r="D217" s="107"/>
      <c r="E217" s="1" t="s">
        <v>154</v>
      </c>
      <c r="F217" s="80">
        <f t="shared" si="61"/>
        <v>0</v>
      </c>
      <c r="G217" s="103"/>
      <c r="H217" s="103"/>
      <c r="I217" s="103">
        <v>-18000</v>
      </c>
      <c r="J217" s="103"/>
      <c r="K217" s="103"/>
      <c r="L217" s="103"/>
      <c r="M217" s="209"/>
      <c r="N217" s="103"/>
      <c r="O217" s="80"/>
      <c r="P217" s="103"/>
      <c r="Q217" s="103"/>
      <c r="R217" s="103"/>
      <c r="S217" s="103"/>
      <c r="T217" s="103"/>
      <c r="U217" s="103"/>
      <c r="V217" s="103"/>
      <c r="W217" s="103"/>
      <c r="X217" s="103"/>
      <c r="Y217" s="103"/>
      <c r="Z217" s="103"/>
      <c r="AA217" s="103"/>
      <c r="AB217" s="103">
        <f t="shared" si="77"/>
        <v>-18000</v>
      </c>
      <c r="AC217" s="103"/>
      <c r="AD217" s="103"/>
      <c r="AE217" s="104">
        <f t="shared" si="78"/>
        <v>-18000</v>
      </c>
      <c r="AF217" s="123"/>
      <c r="AG217" s="123"/>
      <c r="AH217" s="123"/>
    </row>
    <row r="218" spans="1:34" s="39" customFormat="1" ht="27.75" customHeight="1">
      <c r="A218" s="76" t="s">
        <v>282</v>
      </c>
      <c r="B218" s="101" t="s">
        <v>155</v>
      </c>
      <c r="C218" s="101" t="s">
        <v>156</v>
      </c>
      <c r="D218" s="101" t="s">
        <v>394</v>
      </c>
      <c r="E218" s="102" t="s">
        <v>157</v>
      </c>
      <c r="F218" s="80">
        <f t="shared" si="61"/>
        <v>9000</v>
      </c>
      <c r="G218" s="103">
        <f>SUM(G219:G220)</f>
        <v>8000</v>
      </c>
      <c r="H218" s="103">
        <f aca="true" t="shared" si="82" ref="H218:AA218">SUM(H219:H220)</f>
        <v>1000</v>
      </c>
      <c r="I218" s="103">
        <f t="shared" si="82"/>
        <v>23000</v>
      </c>
      <c r="J218" s="103">
        <f t="shared" si="82"/>
        <v>0</v>
      </c>
      <c r="K218" s="103">
        <f t="shared" si="82"/>
        <v>0</v>
      </c>
      <c r="L218" s="103">
        <f t="shared" si="82"/>
        <v>0</v>
      </c>
      <c r="M218" s="103">
        <f t="shared" si="82"/>
        <v>-2000</v>
      </c>
      <c r="N218" s="103">
        <f t="shared" si="82"/>
        <v>0</v>
      </c>
      <c r="O218" s="80">
        <f t="shared" si="82"/>
        <v>0</v>
      </c>
      <c r="P218" s="103">
        <f t="shared" si="82"/>
        <v>0</v>
      </c>
      <c r="Q218" s="103">
        <f t="shared" si="82"/>
        <v>0</v>
      </c>
      <c r="R218" s="103">
        <f t="shared" si="82"/>
        <v>0</v>
      </c>
      <c r="S218" s="103">
        <f t="shared" si="82"/>
        <v>0</v>
      </c>
      <c r="T218" s="103">
        <f t="shared" si="82"/>
        <v>0</v>
      </c>
      <c r="U218" s="103">
        <f t="shared" si="82"/>
        <v>0</v>
      </c>
      <c r="V218" s="103">
        <f t="shared" si="82"/>
        <v>0</v>
      </c>
      <c r="W218" s="103">
        <f t="shared" si="82"/>
        <v>0</v>
      </c>
      <c r="X218" s="103">
        <f t="shared" si="82"/>
        <v>0</v>
      </c>
      <c r="Y218" s="103">
        <f t="shared" si="82"/>
        <v>0</v>
      </c>
      <c r="Z218" s="103">
        <f t="shared" si="82"/>
        <v>0</v>
      </c>
      <c r="AA218" s="103">
        <f t="shared" si="82"/>
        <v>0</v>
      </c>
      <c r="AB218" s="103">
        <f t="shared" si="77"/>
        <v>30000</v>
      </c>
      <c r="AC218" s="103"/>
      <c r="AD218" s="103"/>
      <c r="AE218" s="104">
        <f t="shared" si="78"/>
        <v>30000</v>
      </c>
      <c r="AF218" s="138"/>
      <c r="AG218" s="138"/>
      <c r="AH218" s="138"/>
    </row>
    <row r="219" spans="1:34" s="39" customFormat="1" ht="61.5" customHeight="1">
      <c r="A219" s="76"/>
      <c r="B219" s="101"/>
      <c r="C219" s="101"/>
      <c r="D219" s="101"/>
      <c r="E219" s="108" t="s">
        <v>655</v>
      </c>
      <c r="F219" s="80">
        <f t="shared" si="61"/>
        <v>9000</v>
      </c>
      <c r="G219" s="103">
        <v>8000</v>
      </c>
      <c r="H219" s="103">
        <v>1000</v>
      </c>
      <c r="I219" s="103">
        <f>2000+21000</f>
        <v>23000</v>
      </c>
      <c r="J219" s="103"/>
      <c r="K219" s="103"/>
      <c r="L219" s="103"/>
      <c r="M219" s="103">
        <v>-2000</v>
      </c>
      <c r="N219" s="103"/>
      <c r="O219" s="80"/>
      <c r="P219" s="103"/>
      <c r="Q219" s="103"/>
      <c r="R219" s="103"/>
      <c r="S219" s="103"/>
      <c r="T219" s="103"/>
      <c r="U219" s="103"/>
      <c r="V219" s="103"/>
      <c r="W219" s="103"/>
      <c r="X219" s="103"/>
      <c r="Y219" s="103"/>
      <c r="Z219" s="103"/>
      <c r="AA219" s="103"/>
      <c r="AB219" s="103">
        <f aca="true" t="shared" si="83" ref="AB219:AB224">SUM(G219:AA219)-O219</f>
        <v>30000</v>
      </c>
      <c r="AC219" s="103"/>
      <c r="AD219" s="103"/>
      <c r="AE219" s="104">
        <f aca="true" t="shared" si="84" ref="AE219:AE224">SUM(AB219:AD219)</f>
        <v>30000</v>
      </c>
      <c r="AF219" s="123"/>
      <c r="AG219" s="138"/>
      <c r="AH219" s="138"/>
    </row>
    <row r="220" spans="1:34" s="39" customFormat="1" ht="75.75" customHeight="1" hidden="1">
      <c r="A220" s="76"/>
      <c r="B220" s="101"/>
      <c r="C220" s="101"/>
      <c r="D220" s="101"/>
      <c r="E220" s="108" t="s">
        <v>638</v>
      </c>
      <c r="F220" s="80">
        <f t="shared" si="61"/>
        <v>0</v>
      </c>
      <c r="G220" s="103"/>
      <c r="H220" s="103"/>
      <c r="I220" s="103"/>
      <c r="J220" s="103"/>
      <c r="K220" s="103"/>
      <c r="L220" s="103"/>
      <c r="M220" s="209"/>
      <c r="N220" s="103"/>
      <c r="O220" s="80"/>
      <c r="P220" s="103"/>
      <c r="Q220" s="103"/>
      <c r="R220" s="103"/>
      <c r="S220" s="103"/>
      <c r="T220" s="103"/>
      <c r="U220" s="103"/>
      <c r="V220" s="103"/>
      <c r="W220" s="103"/>
      <c r="X220" s="103"/>
      <c r="Y220" s="103"/>
      <c r="Z220" s="103"/>
      <c r="AA220" s="103"/>
      <c r="AB220" s="103">
        <f t="shared" si="83"/>
        <v>0</v>
      </c>
      <c r="AC220" s="103"/>
      <c r="AD220" s="103"/>
      <c r="AE220" s="104">
        <f t="shared" si="84"/>
        <v>0</v>
      </c>
      <c r="AF220" s="138"/>
      <c r="AG220" s="138"/>
      <c r="AH220" s="138"/>
    </row>
    <row r="221" spans="1:34" s="39" customFormat="1" ht="35.25" customHeight="1">
      <c r="A221" s="76" t="s">
        <v>283</v>
      </c>
      <c r="B221" s="101" t="s">
        <v>158</v>
      </c>
      <c r="C221" s="101" t="s">
        <v>159</v>
      </c>
      <c r="D221" s="101" t="s">
        <v>394</v>
      </c>
      <c r="E221" s="116" t="s">
        <v>160</v>
      </c>
      <c r="F221" s="80">
        <f t="shared" si="61"/>
        <v>0</v>
      </c>
      <c r="G221" s="103">
        <f>SUM(G222:G224)</f>
        <v>0</v>
      </c>
      <c r="H221" s="103">
        <f aca="true" t="shared" si="85" ref="H221:AA221">SUM(H222:H224)</f>
        <v>0</v>
      </c>
      <c r="I221" s="103">
        <f t="shared" si="85"/>
        <v>2000</v>
      </c>
      <c r="J221" s="103">
        <f t="shared" si="85"/>
        <v>0</v>
      </c>
      <c r="K221" s="103">
        <f t="shared" si="85"/>
        <v>0</v>
      </c>
      <c r="L221" s="103">
        <f t="shared" si="85"/>
        <v>0</v>
      </c>
      <c r="M221" s="103">
        <f t="shared" si="85"/>
        <v>0</v>
      </c>
      <c r="N221" s="103">
        <f t="shared" si="85"/>
        <v>0</v>
      </c>
      <c r="O221" s="80">
        <f t="shared" si="85"/>
        <v>0</v>
      </c>
      <c r="P221" s="103">
        <f t="shared" si="85"/>
        <v>0</v>
      </c>
      <c r="Q221" s="103">
        <f t="shared" si="85"/>
        <v>0</v>
      </c>
      <c r="R221" s="103">
        <f t="shared" si="85"/>
        <v>0</v>
      </c>
      <c r="S221" s="103">
        <f t="shared" si="85"/>
        <v>0</v>
      </c>
      <c r="T221" s="103">
        <f t="shared" si="85"/>
        <v>0</v>
      </c>
      <c r="U221" s="103">
        <f t="shared" si="85"/>
        <v>0</v>
      </c>
      <c r="V221" s="103">
        <f t="shared" si="85"/>
        <v>0</v>
      </c>
      <c r="W221" s="103">
        <f t="shared" si="85"/>
        <v>0</v>
      </c>
      <c r="X221" s="103">
        <f t="shared" si="85"/>
        <v>0</v>
      </c>
      <c r="Y221" s="103">
        <f t="shared" si="85"/>
        <v>0</v>
      </c>
      <c r="Z221" s="103">
        <f t="shared" si="85"/>
        <v>0</v>
      </c>
      <c r="AA221" s="103">
        <f t="shared" si="85"/>
        <v>0</v>
      </c>
      <c r="AB221" s="103">
        <f t="shared" si="83"/>
        <v>2000</v>
      </c>
      <c r="AC221" s="103"/>
      <c r="AD221" s="103"/>
      <c r="AE221" s="104">
        <f t="shared" si="84"/>
        <v>2000</v>
      </c>
      <c r="AF221" s="138"/>
      <c r="AG221" s="138"/>
      <c r="AH221" s="138"/>
    </row>
    <row r="222" spans="1:34" s="39" customFormat="1" ht="41.25" customHeight="1">
      <c r="A222" s="76"/>
      <c r="B222" s="101"/>
      <c r="C222" s="101"/>
      <c r="D222" s="101"/>
      <c r="E222" s="1" t="s">
        <v>650</v>
      </c>
      <c r="F222" s="80">
        <f t="shared" si="61"/>
        <v>0</v>
      </c>
      <c r="G222" s="103"/>
      <c r="H222" s="103"/>
      <c r="I222" s="103">
        <v>2000</v>
      </c>
      <c r="J222" s="103"/>
      <c r="K222" s="103"/>
      <c r="L222" s="103"/>
      <c r="M222" s="103"/>
      <c r="N222" s="103"/>
      <c r="O222" s="80"/>
      <c r="P222" s="103"/>
      <c r="Q222" s="103"/>
      <c r="R222" s="103"/>
      <c r="S222" s="103"/>
      <c r="T222" s="103"/>
      <c r="U222" s="103"/>
      <c r="V222" s="103"/>
      <c r="W222" s="103"/>
      <c r="X222" s="103"/>
      <c r="Y222" s="103"/>
      <c r="Z222" s="103"/>
      <c r="AA222" s="103"/>
      <c r="AB222" s="103">
        <f t="shared" si="83"/>
        <v>2000</v>
      </c>
      <c r="AC222" s="103"/>
      <c r="AD222" s="103"/>
      <c r="AE222" s="104">
        <f t="shared" si="84"/>
        <v>2000</v>
      </c>
      <c r="AF222" s="138"/>
      <c r="AG222" s="138"/>
      <c r="AH222" s="138"/>
    </row>
    <row r="223" spans="1:34" s="39" customFormat="1" ht="81.75" customHeight="1" hidden="1">
      <c r="A223" s="76"/>
      <c r="B223" s="101"/>
      <c r="C223" s="101"/>
      <c r="D223" s="101"/>
      <c r="E223" s="1" t="s">
        <v>638</v>
      </c>
      <c r="F223" s="80">
        <f t="shared" si="61"/>
        <v>0</v>
      </c>
      <c r="G223" s="103"/>
      <c r="H223" s="103"/>
      <c r="I223" s="103"/>
      <c r="J223" s="103"/>
      <c r="K223" s="103"/>
      <c r="L223" s="103"/>
      <c r="M223" s="209"/>
      <c r="N223" s="103"/>
      <c r="O223" s="80"/>
      <c r="P223" s="103"/>
      <c r="Q223" s="103"/>
      <c r="R223" s="103"/>
      <c r="S223" s="103"/>
      <c r="T223" s="103"/>
      <c r="U223" s="103"/>
      <c r="V223" s="103"/>
      <c r="W223" s="103"/>
      <c r="X223" s="103"/>
      <c r="Y223" s="103"/>
      <c r="Z223" s="103"/>
      <c r="AA223" s="103"/>
      <c r="AB223" s="103">
        <f t="shared" si="83"/>
        <v>0</v>
      </c>
      <c r="AC223" s="103"/>
      <c r="AD223" s="103"/>
      <c r="AE223" s="104">
        <f t="shared" si="84"/>
        <v>0</v>
      </c>
      <c r="AF223" s="138"/>
      <c r="AG223" s="138"/>
      <c r="AH223" s="138"/>
    </row>
    <row r="224" spans="1:34" s="39" customFormat="1" ht="59.25" customHeight="1" hidden="1">
      <c r="A224" s="76"/>
      <c r="B224" s="101"/>
      <c r="C224" s="101"/>
      <c r="D224" s="101"/>
      <c r="E224" s="1" t="s">
        <v>652</v>
      </c>
      <c r="F224" s="80"/>
      <c r="G224" s="103"/>
      <c r="H224" s="103"/>
      <c r="I224" s="103"/>
      <c r="J224" s="103"/>
      <c r="K224" s="103"/>
      <c r="L224" s="103"/>
      <c r="M224" s="209"/>
      <c r="N224" s="103"/>
      <c r="O224" s="80"/>
      <c r="P224" s="103"/>
      <c r="Q224" s="103"/>
      <c r="R224" s="103"/>
      <c r="S224" s="103"/>
      <c r="T224" s="103"/>
      <c r="U224" s="103"/>
      <c r="V224" s="103"/>
      <c r="W224" s="103"/>
      <c r="X224" s="103"/>
      <c r="Y224" s="103"/>
      <c r="Z224" s="103"/>
      <c r="AA224" s="103"/>
      <c r="AB224" s="103">
        <f t="shared" si="83"/>
        <v>0</v>
      </c>
      <c r="AC224" s="103"/>
      <c r="AD224" s="103"/>
      <c r="AE224" s="104">
        <f t="shared" si="84"/>
        <v>0</v>
      </c>
      <c r="AF224" s="138"/>
      <c r="AG224" s="138"/>
      <c r="AH224" s="138"/>
    </row>
    <row r="225" spans="1:34" s="39" customFormat="1" ht="60" customHeight="1">
      <c r="A225" s="76" t="s">
        <v>396</v>
      </c>
      <c r="B225" s="101" t="s">
        <v>161</v>
      </c>
      <c r="C225" s="101" t="s">
        <v>393</v>
      </c>
      <c r="D225" s="101" t="s">
        <v>395</v>
      </c>
      <c r="E225" s="116" t="s">
        <v>162</v>
      </c>
      <c r="F225" s="80">
        <f t="shared" si="61"/>
        <v>-14000</v>
      </c>
      <c r="G225" s="103">
        <f>SUM(G226:G229)</f>
        <v>-14000</v>
      </c>
      <c r="H225" s="103">
        <f>SUM(H226:H229)</f>
        <v>0</v>
      </c>
      <c r="I225" s="103">
        <f>SUM(I226:I229)</f>
        <v>5000</v>
      </c>
      <c r="J225" s="103">
        <f aca="true" t="shared" si="86" ref="J225:AA225">SUM(J226:J229)</f>
        <v>0</v>
      </c>
      <c r="K225" s="103">
        <f t="shared" si="86"/>
        <v>0</v>
      </c>
      <c r="L225" s="103">
        <f t="shared" si="86"/>
        <v>-3000</v>
      </c>
      <c r="M225" s="103">
        <f t="shared" si="86"/>
        <v>-2000</v>
      </c>
      <c r="N225" s="103">
        <f t="shared" si="86"/>
        <v>0</v>
      </c>
      <c r="O225" s="103">
        <f t="shared" si="86"/>
        <v>0</v>
      </c>
      <c r="P225" s="103">
        <f t="shared" si="86"/>
        <v>0</v>
      </c>
      <c r="Q225" s="103">
        <f t="shared" si="86"/>
        <v>0</v>
      </c>
      <c r="R225" s="103">
        <f t="shared" si="86"/>
        <v>0</v>
      </c>
      <c r="S225" s="103">
        <f t="shared" si="86"/>
        <v>0</v>
      </c>
      <c r="T225" s="103">
        <f t="shared" si="86"/>
        <v>0</v>
      </c>
      <c r="U225" s="103">
        <f t="shared" si="86"/>
        <v>0</v>
      </c>
      <c r="V225" s="103">
        <f t="shared" si="86"/>
        <v>0</v>
      </c>
      <c r="W225" s="103">
        <f t="shared" si="86"/>
        <v>0</v>
      </c>
      <c r="X225" s="103">
        <f t="shared" si="86"/>
        <v>0</v>
      </c>
      <c r="Y225" s="103">
        <f t="shared" si="86"/>
        <v>0</v>
      </c>
      <c r="Z225" s="103">
        <f t="shared" si="86"/>
        <v>0</v>
      </c>
      <c r="AA225" s="103">
        <f t="shared" si="86"/>
        <v>0</v>
      </c>
      <c r="AB225" s="103">
        <f t="shared" si="77"/>
        <v>-14000</v>
      </c>
      <c r="AC225" s="103"/>
      <c r="AD225" s="103"/>
      <c r="AE225" s="104">
        <f t="shared" si="78"/>
        <v>-14000</v>
      </c>
      <c r="AF225" s="123"/>
      <c r="AG225" s="123"/>
      <c r="AH225" s="123"/>
    </row>
    <row r="226" spans="1:34" s="39" customFormat="1" ht="45.75" customHeight="1">
      <c r="A226" s="76"/>
      <c r="B226" s="101"/>
      <c r="C226" s="101"/>
      <c r="D226" s="101"/>
      <c r="E226" s="1" t="s">
        <v>563</v>
      </c>
      <c r="F226" s="80">
        <f t="shared" si="61"/>
        <v>-14000</v>
      </c>
      <c r="G226" s="103">
        <v>-14000</v>
      </c>
      <c r="H226" s="103"/>
      <c r="I226" s="103">
        <v>5000</v>
      </c>
      <c r="J226" s="103"/>
      <c r="K226" s="103"/>
      <c r="L226" s="103">
        <v>-3000</v>
      </c>
      <c r="M226" s="209">
        <v>-2000</v>
      </c>
      <c r="N226" s="103"/>
      <c r="O226" s="80"/>
      <c r="P226" s="103"/>
      <c r="Q226" s="103"/>
      <c r="R226" s="103"/>
      <c r="S226" s="103"/>
      <c r="T226" s="103"/>
      <c r="U226" s="103"/>
      <c r="V226" s="103"/>
      <c r="W226" s="103"/>
      <c r="X226" s="103"/>
      <c r="Y226" s="103"/>
      <c r="Z226" s="103"/>
      <c r="AA226" s="103"/>
      <c r="AB226" s="103">
        <f>SUM(G226:AA226)-O226</f>
        <v>-14000</v>
      </c>
      <c r="AC226" s="103"/>
      <c r="AD226" s="103"/>
      <c r="AE226" s="104">
        <f>SUM(AB226:AD226)</f>
        <v>-14000</v>
      </c>
      <c r="AF226" s="123"/>
      <c r="AG226" s="123"/>
      <c r="AH226" s="123"/>
    </row>
    <row r="227" spans="1:34" s="39" customFormat="1" ht="75" customHeight="1" hidden="1">
      <c r="A227" s="76"/>
      <c r="B227" s="101"/>
      <c r="C227" s="101"/>
      <c r="D227" s="101"/>
      <c r="E227" s="1" t="s">
        <v>638</v>
      </c>
      <c r="F227" s="80">
        <f t="shared" si="61"/>
        <v>0</v>
      </c>
      <c r="G227" s="103"/>
      <c r="H227" s="103"/>
      <c r="I227" s="103"/>
      <c r="J227" s="103"/>
      <c r="K227" s="103"/>
      <c r="L227" s="103"/>
      <c r="M227" s="209"/>
      <c r="N227" s="103"/>
      <c r="O227" s="80"/>
      <c r="P227" s="103"/>
      <c r="Q227" s="103"/>
      <c r="R227" s="103"/>
      <c r="S227" s="103"/>
      <c r="T227" s="103"/>
      <c r="U227" s="103"/>
      <c r="V227" s="103"/>
      <c r="W227" s="103"/>
      <c r="X227" s="103"/>
      <c r="Y227" s="103"/>
      <c r="Z227" s="103"/>
      <c r="AA227" s="103"/>
      <c r="AB227" s="103">
        <f>SUM(G227:AA227)-O227</f>
        <v>0</v>
      </c>
      <c r="AC227" s="103"/>
      <c r="AD227" s="103"/>
      <c r="AE227" s="104">
        <f>SUM(AB227:AD227)</f>
        <v>0</v>
      </c>
      <c r="AF227" s="123"/>
      <c r="AG227" s="123"/>
      <c r="AH227" s="123"/>
    </row>
    <row r="228" spans="1:34" s="39" customFormat="1" ht="65.25" customHeight="1" hidden="1">
      <c r="A228" s="76"/>
      <c r="B228" s="101"/>
      <c r="C228" s="101"/>
      <c r="D228" s="101"/>
      <c r="E228" s="1" t="s">
        <v>583</v>
      </c>
      <c r="F228" s="80">
        <f t="shared" si="61"/>
        <v>0</v>
      </c>
      <c r="G228" s="103"/>
      <c r="H228" s="103"/>
      <c r="I228" s="103"/>
      <c r="J228" s="103"/>
      <c r="K228" s="103"/>
      <c r="L228" s="103"/>
      <c r="M228" s="209"/>
      <c r="N228" s="103"/>
      <c r="O228" s="80"/>
      <c r="P228" s="103"/>
      <c r="Q228" s="103"/>
      <c r="R228" s="103"/>
      <c r="S228" s="103"/>
      <c r="T228" s="103"/>
      <c r="U228" s="103"/>
      <c r="V228" s="103"/>
      <c r="W228" s="103"/>
      <c r="X228" s="103"/>
      <c r="Y228" s="103"/>
      <c r="Z228" s="103"/>
      <c r="AA228" s="103"/>
      <c r="AB228" s="103">
        <f>SUM(G228:AA228)-O228</f>
        <v>0</v>
      </c>
      <c r="AC228" s="103"/>
      <c r="AD228" s="103"/>
      <c r="AE228" s="104">
        <f>SUM(AB228:AD228)</f>
        <v>0</v>
      </c>
      <c r="AF228" s="123"/>
      <c r="AG228" s="123"/>
      <c r="AH228" s="123"/>
    </row>
    <row r="229" spans="1:34" s="39" customFormat="1" ht="62.25" customHeight="1" hidden="1">
      <c r="A229" s="76"/>
      <c r="B229" s="101"/>
      <c r="C229" s="101"/>
      <c r="D229" s="101"/>
      <c r="E229" s="1" t="s">
        <v>410</v>
      </c>
      <c r="F229" s="80">
        <f t="shared" si="61"/>
        <v>0</v>
      </c>
      <c r="G229" s="103"/>
      <c r="H229" s="103"/>
      <c r="I229" s="103"/>
      <c r="J229" s="103"/>
      <c r="K229" s="103"/>
      <c r="L229" s="103"/>
      <c r="M229" s="209"/>
      <c r="N229" s="103"/>
      <c r="O229" s="80">
        <f>SUM(P229:R229)</f>
        <v>0</v>
      </c>
      <c r="P229" s="103"/>
      <c r="Q229" s="103"/>
      <c r="R229" s="103"/>
      <c r="S229" s="103"/>
      <c r="T229" s="103"/>
      <c r="U229" s="103"/>
      <c r="V229" s="103"/>
      <c r="W229" s="103"/>
      <c r="X229" s="103"/>
      <c r="Y229" s="103"/>
      <c r="Z229" s="103"/>
      <c r="AA229" s="103"/>
      <c r="AB229" s="103">
        <f t="shared" si="77"/>
        <v>0</v>
      </c>
      <c r="AC229" s="103"/>
      <c r="AD229" s="103"/>
      <c r="AE229" s="104">
        <f t="shared" si="78"/>
        <v>0</v>
      </c>
      <c r="AF229" s="123"/>
      <c r="AG229" s="123"/>
      <c r="AH229" s="123"/>
    </row>
    <row r="230" spans="1:34" s="189" customFormat="1" ht="45.75" customHeight="1">
      <c r="A230" s="76" t="s">
        <v>289</v>
      </c>
      <c r="B230" s="76" t="s">
        <v>163</v>
      </c>
      <c r="C230" s="76" t="s">
        <v>164</v>
      </c>
      <c r="D230" s="76" t="s">
        <v>290</v>
      </c>
      <c r="E230" s="102" t="s">
        <v>165</v>
      </c>
      <c r="F230" s="80">
        <f t="shared" si="61"/>
        <v>5000</v>
      </c>
      <c r="G230" s="172">
        <f>SUM(G231:G232)</f>
        <v>3000</v>
      </c>
      <c r="H230" s="172">
        <f aca="true" t="shared" si="87" ref="H230:AA230">SUM(H231:H232)</f>
        <v>2000</v>
      </c>
      <c r="I230" s="172">
        <f t="shared" si="87"/>
        <v>19000</v>
      </c>
      <c r="J230" s="172">
        <f t="shared" si="87"/>
        <v>0</v>
      </c>
      <c r="K230" s="172">
        <f t="shared" si="87"/>
        <v>0</v>
      </c>
      <c r="L230" s="172">
        <f t="shared" si="87"/>
        <v>0</v>
      </c>
      <c r="M230" s="172">
        <f t="shared" si="87"/>
        <v>-4000</v>
      </c>
      <c r="N230" s="172">
        <f t="shared" si="87"/>
        <v>0</v>
      </c>
      <c r="O230" s="193">
        <f t="shared" si="87"/>
        <v>0</v>
      </c>
      <c r="P230" s="172">
        <f t="shared" si="87"/>
        <v>0</v>
      </c>
      <c r="Q230" s="172">
        <f t="shared" si="87"/>
        <v>0</v>
      </c>
      <c r="R230" s="172">
        <f t="shared" si="87"/>
        <v>0</v>
      </c>
      <c r="S230" s="172">
        <f t="shared" si="87"/>
        <v>0</v>
      </c>
      <c r="T230" s="172">
        <f t="shared" si="87"/>
        <v>0</v>
      </c>
      <c r="U230" s="172">
        <f t="shared" si="87"/>
        <v>0</v>
      </c>
      <c r="V230" s="172">
        <f t="shared" si="87"/>
        <v>0</v>
      </c>
      <c r="W230" s="172">
        <f t="shared" si="87"/>
        <v>0</v>
      </c>
      <c r="X230" s="172">
        <f t="shared" si="87"/>
        <v>0</v>
      </c>
      <c r="Y230" s="172">
        <f t="shared" si="87"/>
        <v>0</v>
      </c>
      <c r="Z230" s="172">
        <f t="shared" si="87"/>
        <v>0</v>
      </c>
      <c r="AA230" s="172">
        <f t="shared" si="87"/>
        <v>0</v>
      </c>
      <c r="AB230" s="172">
        <f t="shared" si="77"/>
        <v>20000</v>
      </c>
      <c r="AC230" s="172"/>
      <c r="AD230" s="172"/>
      <c r="AE230" s="187">
        <f t="shared" si="78"/>
        <v>20000</v>
      </c>
      <c r="AF230" s="133"/>
      <c r="AG230" s="133"/>
      <c r="AH230" s="133"/>
    </row>
    <row r="231" spans="1:34" s="189" customFormat="1" ht="45.75" customHeight="1">
      <c r="A231" s="76"/>
      <c r="B231" s="76"/>
      <c r="C231" s="76"/>
      <c r="D231" s="76"/>
      <c r="E231" s="108" t="s">
        <v>656</v>
      </c>
      <c r="F231" s="80">
        <f t="shared" si="61"/>
        <v>5000</v>
      </c>
      <c r="G231" s="172">
        <v>3000</v>
      </c>
      <c r="H231" s="172">
        <v>2000</v>
      </c>
      <c r="I231" s="172">
        <f>4000+15000</f>
        <v>19000</v>
      </c>
      <c r="J231" s="172"/>
      <c r="K231" s="172"/>
      <c r="L231" s="172"/>
      <c r="M231" s="172">
        <v>-4000</v>
      </c>
      <c r="N231" s="172"/>
      <c r="O231" s="193"/>
      <c r="P231" s="172"/>
      <c r="Q231" s="172"/>
      <c r="R231" s="172"/>
      <c r="S231" s="172"/>
      <c r="T231" s="172"/>
      <c r="U231" s="172"/>
      <c r="V231" s="172"/>
      <c r="W231" s="172"/>
      <c r="X231" s="172"/>
      <c r="Y231" s="172"/>
      <c r="Z231" s="172"/>
      <c r="AA231" s="172"/>
      <c r="AB231" s="172">
        <f>SUM(G231:AA231)-O231</f>
        <v>20000</v>
      </c>
      <c r="AC231" s="172"/>
      <c r="AD231" s="172"/>
      <c r="AE231" s="187">
        <f>SUM(AB231:AD231)</f>
        <v>20000</v>
      </c>
      <c r="AF231" s="133"/>
      <c r="AG231" s="133"/>
      <c r="AH231" s="133"/>
    </row>
    <row r="232" spans="1:34" s="189" customFormat="1" ht="85.5" customHeight="1" hidden="1">
      <c r="A232" s="76"/>
      <c r="B232" s="76"/>
      <c r="C232" s="76"/>
      <c r="D232" s="76"/>
      <c r="E232" s="108" t="s">
        <v>638</v>
      </c>
      <c r="F232" s="80">
        <f t="shared" si="61"/>
        <v>0</v>
      </c>
      <c r="G232" s="172"/>
      <c r="H232" s="172"/>
      <c r="I232" s="172"/>
      <c r="J232" s="172"/>
      <c r="K232" s="172"/>
      <c r="L232" s="172"/>
      <c r="M232" s="172"/>
      <c r="N232" s="172"/>
      <c r="O232" s="193"/>
      <c r="P232" s="172"/>
      <c r="Q232" s="172"/>
      <c r="R232" s="172"/>
      <c r="S232" s="172"/>
      <c r="T232" s="172"/>
      <c r="U232" s="172"/>
      <c r="V232" s="172"/>
      <c r="W232" s="172"/>
      <c r="X232" s="172"/>
      <c r="Y232" s="172"/>
      <c r="Z232" s="172"/>
      <c r="AA232" s="172"/>
      <c r="AB232" s="172">
        <f>SUM(G232:AA232)-O232</f>
        <v>0</v>
      </c>
      <c r="AC232" s="172"/>
      <c r="AD232" s="172"/>
      <c r="AE232" s="187">
        <f>SUM(AB232:AD232)</f>
        <v>0</v>
      </c>
      <c r="AF232" s="133"/>
      <c r="AG232" s="133"/>
      <c r="AH232" s="133"/>
    </row>
    <row r="233" spans="1:34" s="189" customFormat="1" ht="29.25" customHeight="1">
      <c r="A233" s="76"/>
      <c r="B233" s="76" t="s">
        <v>171</v>
      </c>
      <c r="C233" s="76" t="s">
        <v>172</v>
      </c>
      <c r="D233" s="76" t="s">
        <v>290</v>
      </c>
      <c r="E233" s="102" t="s">
        <v>173</v>
      </c>
      <c r="F233" s="80">
        <f t="shared" si="61"/>
        <v>0</v>
      </c>
      <c r="G233" s="172">
        <f aca="true" t="shared" si="88" ref="G233:AA233">SUM(G234:G235)</f>
        <v>0</v>
      </c>
      <c r="H233" s="172">
        <f t="shared" si="88"/>
        <v>0</v>
      </c>
      <c r="I233" s="172">
        <f t="shared" si="88"/>
        <v>-100000</v>
      </c>
      <c r="J233" s="172">
        <f t="shared" si="88"/>
        <v>0</v>
      </c>
      <c r="K233" s="172">
        <f t="shared" si="88"/>
        <v>0</v>
      </c>
      <c r="L233" s="172">
        <f t="shared" si="88"/>
        <v>-185000</v>
      </c>
      <c r="M233" s="172">
        <f t="shared" si="88"/>
        <v>0</v>
      </c>
      <c r="N233" s="172">
        <f t="shared" si="88"/>
        <v>0</v>
      </c>
      <c r="O233" s="193">
        <f t="shared" si="88"/>
        <v>0</v>
      </c>
      <c r="P233" s="172">
        <f t="shared" si="88"/>
        <v>0</v>
      </c>
      <c r="Q233" s="172">
        <f t="shared" si="88"/>
        <v>0</v>
      </c>
      <c r="R233" s="172">
        <f t="shared" si="88"/>
        <v>0</v>
      </c>
      <c r="S233" s="172">
        <f t="shared" si="88"/>
        <v>0</v>
      </c>
      <c r="T233" s="172">
        <f t="shared" si="88"/>
        <v>0</v>
      </c>
      <c r="U233" s="172">
        <f t="shared" si="88"/>
        <v>0</v>
      </c>
      <c r="V233" s="172">
        <f t="shared" si="88"/>
        <v>185000</v>
      </c>
      <c r="W233" s="172">
        <f t="shared" si="88"/>
        <v>0</v>
      </c>
      <c r="X233" s="172">
        <f t="shared" si="88"/>
        <v>0</v>
      </c>
      <c r="Y233" s="172">
        <f t="shared" si="88"/>
        <v>0</v>
      </c>
      <c r="Z233" s="172">
        <f t="shared" si="88"/>
        <v>0</v>
      </c>
      <c r="AA233" s="172">
        <f t="shared" si="88"/>
        <v>0</v>
      </c>
      <c r="AB233" s="172">
        <f t="shared" si="77"/>
        <v>-100000</v>
      </c>
      <c r="AC233" s="172"/>
      <c r="AD233" s="172"/>
      <c r="AE233" s="187">
        <f t="shared" si="78"/>
        <v>-100000</v>
      </c>
      <c r="AF233" s="133"/>
      <c r="AG233" s="133"/>
      <c r="AH233" s="133"/>
    </row>
    <row r="234" spans="1:34" s="39" customFormat="1" ht="66" customHeight="1">
      <c r="A234" s="76"/>
      <c r="B234" s="140"/>
      <c r="C234" s="140"/>
      <c r="D234" s="140"/>
      <c r="E234" s="1" t="s">
        <v>695</v>
      </c>
      <c r="F234" s="80">
        <f t="shared" si="61"/>
        <v>0</v>
      </c>
      <c r="G234" s="103"/>
      <c r="H234" s="103"/>
      <c r="I234" s="103">
        <v>-100000</v>
      </c>
      <c r="J234" s="103"/>
      <c r="K234" s="103"/>
      <c r="L234" s="103">
        <v>-185000</v>
      </c>
      <c r="M234" s="103"/>
      <c r="N234" s="103"/>
      <c r="O234" s="80"/>
      <c r="P234" s="103"/>
      <c r="Q234" s="103"/>
      <c r="R234" s="103"/>
      <c r="S234" s="103"/>
      <c r="T234" s="103"/>
      <c r="U234" s="103"/>
      <c r="V234" s="103">
        <v>185000</v>
      </c>
      <c r="W234" s="103"/>
      <c r="X234" s="103"/>
      <c r="Y234" s="103"/>
      <c r="Z234" s="103"/>
      <c r="AA234" s="103"/>
      <c r="AB234" s="172">
        <f t="shared" si="77"/>
        <v>-100000</v>
      </c>
      <c r="AC234" s="103"/>
      <c r="AD234" s="103"/>
      <c r="AE234" s="187">
        <f t="shared" si="78"/>
        <v>-100000</v>
      </c>
      <c r="AF234" s="138"/>
      <c r="AG234" s="138"/>
      <c r="AH234" s="138"/>
    </row>
    <row r="235" spans="1:34" s="39" customFormat="1" ht="60.75" customHeight="1" hidden="1">
      <c r="A235" s="76"/>
      <c r="B235" s="140"/>
      <c r="C235" s="140"/>
      <c r="D235" s="140"/>
      <c r="E235" s="1" t="s">
        <v>485</v>
      </c>
      <c r="F235" s="80">
        <f t="shared" si="61"/>
        <v>0</v>
      </c>
      <c r="G235" s="103"/>
      <c r="H235" s="103"/>
      <c r="I235" s="103"/>
      <c r="J235" s="103"/>
      <c r="K235" s="103"/>
      <c r="L235" s="103"/>
      <c r="M235" s="103"/>
      <c r="N235" s="103"/>
      <c r="O235" s="80">
        <f>SUM(P235:R235)</f>
        <v>0</v>
      </c>
      <c r="P235" s="103"/>
      <c r="Q235" s="103"/>
      <c r="R235" s="103"/>
      <c r="S235" s="103"/>
      <c r="T235" s="103"/>
      <c r="U235" s="103"/>
      <c r="V235" s="103"/>
      <c r="W235" s="103"/>
      <c r="X235" s="103"/>
      <c r="Y235" s="103"/>
      <c r="Z235" s="103"/>
      <c r="AA235" s="103"/>
      <c r="AB235" s="103">
        <f t="shared" si="77"/>
        <v>0</v>
      </c>
      <c r="AC235" s="103"/>
      <c r="AD235" s="103">
        <f>SUM(AD236:AD236)</f>
        <v>0</v>
      </c>
      <c r="AE235" s="104">
        <f t="shared" si="78"/>
        <v>0</v>
      </c>
      <c r="AF235" s="138"/>
      <c r="AG235" s="138"/>
      <c r="AH235" s="138"/>
    </row>
    <row r="236" spans="1:34" s="189" customFormat="1" ht="51" customHeight="1">
      <c r="A236" s="76" t="s">
        <v>332</v>
      </c>
      <c r="B236" s="101" t="s">
        <v>168</v>
      </c>
      <c r="C236" s="101" t="s">
        <v>397</v>
      </c>
      <c r="D236" s="101" t="s">
        <v>270</v>
      </c>
      <c r="E236" s="116" t="s">
        <v>239</v>
      </c>
      <c r="F236" s="80">
        <f t="shared" si="61"/>
        <v>0</v>
      </c>
      <c r="G236" s="172">
        <f>SUM(G237:G239)</f>
        <v>0</v>
      </c>
      <c r="H236" s="172">
        <f aca="true" t="shared" si="89" ref="H236:AD236">SUM(H237:H239)</f>
        <v>0</v>
      </c>
      <c r="I236" s="172">
        <f t="shared" si="89"/>
        <v>206620</v>
      </c>
      <c r="J236" s="172">
        <f t="shared" si="89"/>
        <v>0</v>
      </c>
      <c r="K236" s="172">
        <f t="shared" si="89"/>
        <v>0</v>
      </c>
      <c r="L236" s="172">
        <f t="shared" si="89"/>
        <v>-5500</v>
      </c>
      <c r="M236" s="172">
        <f t="shared" si="89"/>
        <v>0</v>
      </c>
      <c r="N236" s="172">
        <f t="shared" si="89"/>
        <v>0</v>
      </c>
      <c r="O236" s="193">
        <f>SUM(P236:R236)</f>
        <v>0</v>
      </c>
      <c r="P236" s="172">
        <f t="shared" si="89"/>
        <v>0</v>
      </c>
      <c r="Q236" s="172">
        <f t="shared" si="89"/>
        <v>0</v>
      </c>
      <c r="R236" s="172">
        <f t="shared" si="89"/>
        <v>0</v>
      </c>
      <c r="S236" s="172">
        <f t="shared" si="89"/>
        <v>0</v>
      </c>
      <c r="T236" s="172">
        <f t="shared" si="89"/>
        <v>0</v>
      </c>
      <c r="U236" s="172">
        <f t="shared" si="89"/>
        <v>-368620</v>
      </c>
      <c r="V236" s="172">
        <f t="shared" si="89"/>
        <v>0</v>
      </c>
      <c r="W236" s="172">
        <f t="shared" si="89"/>
        <v>0</v>
      </c>
      <c r="X236" s="172">
        <f t="shared" si="89"/>
        <v>0</v>
      </c>
      <c r="Y236" s="172">
        <f t="shared" si="89"/>
        <v>0</v>
      </c>
      <c r="Z236" s="172">
        <f t="shared" si="89"/>
        <v>0</v>
      </c>
      <c r="AA236" s="172">
        <f t="shared" si="89"/>
        <v>0</v>
      </c>
      <c r="AB236" s="172">
        <f t="shared" si="77"/>
        <v>-167500</v>
      </c>
      <c r="AC236" s="172">
        <f t="shared" si="89"/>
        <v>0</v>
      </c>
      <c r="AD236" s="172">
        <f t="shared" si="89"/>
        <v>0</v>
      </c>
      <c r="AE236" s="187">
        <f t="shared" si="78"/>
        <v>-167500</v>
      </c>
      <c r="AF236" s="194"/>
      <c r="AG236" s="194"/>
      <c r="AH236" s="194"/>
    </row>
    <row r="237" spans="1:34" s="39" customFormat="1" ht="60.75" customHeight="1">
      <c r="A237" s="140"/>
      <c r="B237" s="107"/>
      <c r="C237" s="107"/>
      <c r="D237" s="107"/>
      <c r="E237" s="1" t="s">
        <v>701</v>
      </c>
      <c r="F237" s="80">
        <f t="shared" si="61"/>
        <v>0</v>
      </c>
      <c r="G237" s="103"/>
      <c r="H237" s="103"/>
      <c r="I237" s="103">
        <f>6620+300000-100000</f>
        <v>206620</v>
      </c>
      <c r="J237" s="103"/>
      <c r="K237" s="103"/>
      <c r="L237" s="103">
        <v>-5500</v>
      </c>
      <c r="M237" s="209"/>
      <c r="N237" s="103"/>
      <c r="O237" s="80"/>
      <c r="P237" s="103"/>
      <c r="Q237" s="103"/>
      <c r="R237" s="103"/>
      <c r="S237" s="103"/>
      <c r="T237" s="103"/>
      <c r="U237" s="103">
        <f>-6620-300000-62000</f>
        <v>-368620</v>
      </c>
      <c r="V237" s="103"/>
      <c r="W237" s="103"/>
      <c r="X237" s="103"/>
      <c r="Y237" s="103"/>
      <c r="Z237" s="103"/>
      <c r="AA237" s="103"/>
      <c r="AB237" s="103">
        <f t="shared" si="77"/>
        <v>-167500</v>
      </c>
      <c r="AC237" s="103"/>
      <c r="AD237" s="103"/>
      <c r="AE237" s="104">
        <f t="shared" si="78"/>
        <v>-167500</v>
      </c>
      <c r="AF237" s="123"/>
      <c r="AG237" s="38"/>
      <c r="AH237" s="38"/>
    </row>
    <row r="238" spans="1:34" s="39" customFormat="1" ht="64.5" customHeight="1" hidden="1">
      <c r="A238" s="140"/>
      <c r="B238" s="107"/>
      <c r="C238" s="107"/>
      <c r="D238" s="107"/>
      <c r="E238" s="1" t="s">
        <v>479</v>
      </c>
      <c r="F238" s="80">
        <f t="shared" si="61"/>
        <v>0</v>
      </c>
      <c r="G238" s="103"/>
      <c r="H238" s="103"/>
      <c r="I238" s="103"/>
      <c r="J238" s="103"/>
      <c r="K238" s="103"/>
      <c r="L238" s="103"/>
      <c r="M238" s="209"/>
      <c r="N238" s="103"/>
      <c r="O238" s="80"/>
      <c r="P238" s="103"/>
      <c r="Q238" s="103"/>
      <c r="R238" s="103"/>
      <c r="S238" s="103"/>
      <c r="T238" s="103"/>
      <c r="U238" s="103"/>
      <c r="V238" s="103"/>
      <c r="W238" s="103"/>
      <c r="X238" s="103"/>
      <c r="Y238" s="103"/>
      <c r="Z238" s="103"/>
      <c r="AA238" s="103"/>
      <c r="AB238" s="103">
        <f t="shared" si="77"/>
        <v>0</v>
      </c>
      <c r="AC238" s="103"/>
      <c r="AD238" s="103"/>
      <c r="AE238" s="104">
        <f t="shared" si="78"/>
        <v>0</v>
      </c>
      <c r="AF238" s="138"/>
      <c r="AG238" s="138"/>
      <c r="AH238" s="138"/>
    </row>
    <row r="239" spans="1:34" s="39" customFormat="1" ht="44.25" customHeight="1" hidden="1">
      <c r="A239" s="140"/>
      <c r="B239" s="107"/>
      <c r="C239" s="107"/>
      <c r="D239" s="107"/>
      <c r="E239" s="1" t="s">
        <v>399</v>
      </c>
      <c r="F239" s="80">
        <f t="shared" si="61"/>
        <v>0</v>
      </c>
      <c r="G239" s="103"/>
      <c r="H239" s="103"/>
      <c r="I239" s="103"/>
      <c r="J239" s="103"/>
      <c r="K239" s="103"/>
      <c r="L239" s="103"/>
      <c r="M239" s="209"/>
      <c r="N239" s="103"/>
      <c r="O239" s="80">
        <f>SUM(P239:R239)</f>
        <v>0</v>
      </c>
      <c r="P239" s="103"/>
      <c r="Q239" s="103"/>
      <c r="R239" s="103"/>
      <c r="S239" s="103"/>
      <c r="T239" s="103"/>
      <c r="U239" s="103"/>
      <c r="V239" s="103"/>
      <c r="W239" s="103"/>
      <c r="X239" s="103"/>
      <c r="Y239" s="103"/>
      <c r="Z239" s="103"/>
      <c r="AA239" s="103"/>
      <c r="AB239" s="103">
        <f t="shared" si="77"/>
        <v>0</v>
      </c>
      <c r="AC239" s="103"/>
      <c r="AD239" s="103"/>
      <c r="AE239" s="104">
        <f t="shared" si="78"/>
        <v>0</v>
      </c>
      <c r="AF239" s="38"/>
      <c r="AG239" s="38"/>
      <c r="AH239" s="38"/>
    </row>
    <row r="240" spans="1:34" s="189" customFormat="1" ht="43.5" customHeight="1">
      <c r="A240" s="76" t="s">
        <v>350</v>
      </c>
      <c r="B240" s="101" t="s">
        <v>169</v>
      </c>
      <c r="C240" s="101" t="s">
        <v>400</v>
      </c>
      <c r="D240" s="101" t="s">
        <v>270</v>
      </c>
      <c r="E240" s="116" t="s">
        <v>222</v>
      </c>
      <c r="F240" s="80">
        <f t="shared" si="61"/>
        <v>0</v>
      </c>
      <c r="G240" s="172">
        <f aca="true" t="shared" si="90" ref="G240:AA240">SUM(G241:G242)</f>
        <v>0</v>
      </c>
      <c r="H240" s="172">
        <f t="shared" si="90"/>
        <v>0</v>
      </c>
      <c r="I240" s="172">
        <f t="shared" si="90"/>
        <v>13760</v>
      </c>
      <c r="J240" s="172">
        <f t="shared" si="90"/>
        <v>0</v>
      </c>
      <c r="K240" s="172">
        <f t="shared" si="90"/>
        <v>0</v>
      </c>
      <c r="L240" s="172">
        <f t="shared" si="90"/>
        <v>0</v>
      </c>
      <c r="M240" s="172">
        <f t="shared" si="90"/>
        <v>0</v>
      </c>
      <c r="N240" s="172">
        <f t="shared" si="90"/>
        <v>0</v>
      </c>
      <c r="O240" s="193">
        <f t="shared" si="90"/>
        <v>0</v>
      </c>
      <c r="P240" s="172">
        <f t="shared" si="90"/>
        <v>0</v>
      </c>
      <c r="Q240" s="172">
        <f t="shared" si="90"/>
        <v>0</v>
      </c>
      <c r="R240" s="172">
        <f t="shared" si="90"/>
        <v>0</v>
      </c>
      <c r="S240" s="172">
        <f t="shared" si="90"/>
        <v>0</v>
      </c>
      <c r="T240" s="172">
        <f t="shared" si="90"/>
        <v>0</v>
      </c>
      <c r="U240" s="172">
        <f t="shared" si="90"/>
        <v>-39260</v>
      </c>
      <c r="V240" s="172">
        <f t="shared" si="90"/>
        <v>0</v>
      </c>
      <c r="W240" s="172">
        <f t="shared" si="90"/>
        <v>0</v>
      </c>
      <c r="X240" s="172">
        <f t="shared" si="90"/>
        <v>0</v>
      </c>
      <c r="Y240" s="172">
        <f t="shared" si="90"/>
        <v>0</v>
      </c>
      <c r="Z240" s="172">
        <f t="shared" si="90"/>
        <v>0</v>
      </c>
      <c r="AA240" s="172">
        <f t="shared" si="90"/>
        <v>0</v>
      </c>
      <c r="AB240" s="172">
        <f t="shared" si="77"/>
        <v>-25500</v>
      </c>
      <c r="AC240" s="172"/>
      <c r="AD240" s="172"/>
      <c r="AE240" s="187">
        <f t="shared" si="78"/>
        <v>-25500</v>
      </c>
      <c r="AF240" s="194"/>
      <c r="AG240" s="194"/>
      <c r="AH240" s="194"/>
    </row>
    <row r="241" spans="1:34" s="39" customFormat="1" ht="62.25" customHeight="1">
      <c r="A241" s="140"/>
      <c r="B241" s="107"/>
      <c r="C241" s="107"/>
      <c r="D241" s="107"/>
      <c r="E241" s="1" t="s">
        <v>582</v>
      </c>
      <c r="F241" s="80">
        <f t="shared" si="61"/>
        <v>0</v>
      </c>
      <c r="G241" s="103"/>
      <c r="H241" s="103"/>
      <c r="I241" s="103">
        <v>13760</v>
      </c>
      <c r="J241" s="103"/>
      <c r="K241" s="103"/>
      <c r="L241" s="103"/>
      <c r="M241" s="209"/>
      <c r="N241" s="103"/>
      <c r="O241" s="80"/>
      <c r="P241" s="103"/>
      <c r="Q241" s="103"/>
      <c r="R241" s="103"/>
      <c r="S241" s="103"/>
      <c r="T241" s="103"/>
      <c r="U241" s="103">
        <f>-13760-25500</f>
        <v>-39260</v>
      </c>
      <c r="V241" s="103"/>
      <c r="W241" s="103"/>
      <c r="X241" s="103"/>
      <c r="Y241" s="103"/>
      <c r="Z241" s="103"/>
      <c r="AA241" s="103"/>
      <c r="AB241" s="103">
        <f t="shared" si="77"/>
        <v>-25500</v>
      </c>
      <c r="AC241" s="103"/>
      <c r="AD241" s="103"/>
      <c r="AE241" s="104">
        <f t="shared" si="78"/>
        <v>-25500</v>
      </c>
      <c r="AF241" s="138"/>
      <c r="AG241" s="138"/>
      <c r="AH241" s="138"/>
    </row>
    <row r="242" spans="1:34" s="39" customFormat="1" ht="63" customHeight="1" hidden="1">
      <c r="A242" s="140"/>
      <c r="B242" s="107"/>
      <c r="C242" s="107"/>
      <c r="D242" s="107"/>
      <c r="E242" s="1" t="s">
        <v>479</v>
      </c>
      <c r="F242" s="80">
        <f t="shared" si="61"/>
        <v>0</v>
      </c>
      <c r="G242" s="103"/>
      <c r="H242" s="103"/>
      <c r="I242" s="103"/>
      <c r="J242" s="103"/>
      <c r="K242" s="103"/>
      <c r="L242" s="103"/>
      <c r="M242" s="209"/>
      <c r="N242" s="103"/>
      <c r="O242" s="80"/>
      <c r="P242" s="103"/>
      <c r="Q242" s="103"/>
      <c r="R242" s="103"/>
      <c r="S242" s="103"/>
      <c r="T242" s="103"/>
      <c r="U242" s="103"/>
      <c r="V242" s="103"/>
      <c r="W242" s="103"/>
      <c r="X242" s="103"/>
      <c r="Y242" s="103"/>
      <c r="Z242" s="103"/>
      <c r="AA242" s="103"/>
      <c r="AB242" s="103">
        <f t="shared" si="77"/>
        <v>0</v>
      </c>
      <c r="AC242" s="103"/>
      <c r="AD242" s="103"/>
      <c r="AE242" s="104">
        <f t="shared" si="78"/>
        <v>0</v>
      </c>
      <c r="AF242" s="38"/>
      <c r="AG242" s="38"/>
      <c r="AH242" s="38"/>
    </row>
    <row r="243" spans="1:34" s="189" customFormat="1" ht="48.75" customHeight="1">
      <c r="A243" s="76" t="s">
        <v>269</v>
      </c>
      <c r="B243" s="101" t="s">
        <v>166</v>
      </c>
      <c r="C243" s="101" t="s">
        <v>401</v>
      </c>
      <c r="D243" s="101" t="s">
        <v>270</v>
      </c>
      <c r="E243" s="102" t="s">
        <v>167</v>
      </c>
      <c r="F243" s="80">
        <f t="shared" si="61"/>
        <v>0</v>
      </c>
      <c r="G243" s="172">
        <f>SUM(G244:G246)</f>
        <v>0</v>
      </c>
      <c r="H243" s="172">
        <f aca="true" t="shared" si="91" ref="H243:AA243">SUM(H244:H246)</f>
        <v>0</v>
      </c>
      <c r="I243" s="172">
        <f t="shared" si="91"/>
        <v>30000</v>
      </c>
      <c r="J243" s="172">
        <f t="shared" si="91"/>
        <v>0</v>
      </c>
      <c r="K243" s="172">
        <f t="shared" si="91"/>
        <v>0</v>
      </c>
      <c r="L243" s="172">
        <f t="shared" si="91"/>
        <v>-27369</v>
      </c>
      <c r="M243" s="172">
        <f t="shared" si="91"/>
        <v>-5000</v>
      </c>
      <c r="N243" s="172">
        <f t="shared" si="91"/>
        <v>0</v>
      </c>
      <c r="O243" s="193">
        <f t="shared" si="91"/>
        <v>0</v>
      </c>
      <c r="P243" s="172">
        <f t="shared" si="91"/>
        <v>0</v>
      </c>
      <c r="Q243" s="172">
        <f t="shared" si="91"/>
        <v>0</v>
      </c>
      <c r="R243" s="172">
        <f t="shared" si="91"/>
        <v>0</v>
      </c>
      <c r="S243" s="172">
        <f t="shared" si="91"/>
        <v>0</v>
      </c>
      <c r="T243" s="172">
        <f t="shared" si="91"/>
        <v>0</v>
      </c>
      <c r="U243" s="172">
        <f t="shared" si="91"/>
        <v>-10000</v>
      </c>
      <c r="V243" s="172">
        <f t="shared" si="91"/>
        <v>0</v>
      </c>
      <c r="W243" s="172">
        <f t="shared" si="91"/>
        <v>0</v>
      </c>
      <c r="X243" s="172">
        <f t="shared" si="91"/>
        <v>0</v>
      </c>
      <c r="Y243" s="172">
        <f t="shared" si="91"/>
        <v>0</v>
      </c>
      <c r="Z243" s="172">
        <f t="shared" si="91"/>
        <v>0</v>
      </c>
      <c r="AA243" s="172">
        <f t="shared" si="91"/>
        <v>0</v>
      </c>
      <c r="AB243" s="172">
        <f t="shared" si="77"/>
        <v>-12369</v>
      </c>
      <c r="AC243" s="172"/>
      <c r="AD243" s="172"/>
      <c r="AE243" s="187">
        <f t="shared" si="78"/>
        <v>-12369</v>
      </c>
      <c r="AF243" s="194"/>
      <c r="AG243" s="194"/>
      <c r="AH243" s="194"/>
    </row>
    <row r="244" spans="1:34" s="39" customFormat="1" ht="61.5" customHeight="1">
      <c r="A244" s="140"/>
      <c r="B244" s="107"/>
      <c r="C244" s="107"/>
      <c r="D244" s="107"/>
      <c r="E244" s="108" t="s">
        <v>565</v>
      </c>
      <c r="F244" s="80">
        <f t="shared" si="61"/>
        <v>0</v>
      </c>
      <c r="G244" s="103"/>
      <c r="H244" s="103"/>
      <c r="I244" s="103">
        <f>15000+3000+12000</f>
        <v>30000</v>
      </c>
      <c r="J244" s="103"/>
      <c r="K244" s="103"/>
      <c r="L244" s="103">
        <f>-13000-169-14200</f>
        <v>-27369</v>
      </c>
      <c r="M244" s="209">
        <v>-5000</v>
      </c>
      <c r="N244" s="103"/>
      <c r="O244" s="80"/>
      <c r="P244" s="103"/>
      <c r="Q244" s="103"/>
      <c r="R244" s="103"/>
      <c r="S244" s="103"/>
      <c r="T244" s="103"/>
      <c r="U244" s="103">
        <v>-10000</v>
      </c>
      <c r="V244" s="103"/>
      <c r="W244" s="103"/>
      <c r="X244" s="103"/>
      <c r="Y244" s="103"/>
      <c r="Z244" s="103"/>
      <c r="AA244" s="103"/>
      <c r="AB244" s="172">
        <f>SUM(G244:AA244)-O244</f>
        <v>-12369</v>
      </c>
      <c r="AC244" s="172"/>
      <c r="AD244" s="172"/>
      <c r="AE244" s="187">
        <f>SUM(AB244:AD244)</f>
        <v>-12369</v>
      </c>
      <c r="AF244" s="123"/>
      <c r="AG244" s="138"/>
      <c r="AH244" s="138"/>
    </row>
    <row r="245" spans="1:34" s="39" customFormat="1" ht="83.25" customHeight="1" hidden="1">
      <c r="A245" s="140"/>
      <c r="B245" s="107"/>
      <c r="C245" s="107"/>
      <c r="D245" s="107"/>
      <c r="E245" s="108" t="s">
        <v>638</v>
      </c>
      <c r="F245" s="80"/>
      <c r="G245" s="103"/>
      <c r="H245" s="103"/>
      <c r="I245" s="103"/>
      <c r="J245" s="103"/>
      <c r="K245" s="103"/>
      <c r="L245" s="103"/>
      <c r="M245" s="209"/>
      <c r="N245" s="103"/>
      <c r="O245" s="80"/>
      <c r="P245" s="103"/>
      <c r="Q245" s="103"/>
      <c r="R245" s="103"/>
      <c r="S245" s="103"/>
      <c r="T245" s="103"/>
      <c r="U245" s="103"/>
      <c r="V245" s="103"/>
      <c r="W245" s="103"/>
      <c r="X245" s="103"/>
      <c r="Y245" s="103"/>
      <c r="Z245" s="103"/>
      <c r="AA245" s="103"/>
      <c r="AB245" s="172">
        <f>SUM(G245:AA245)-O245</f>
        <v>0</v>
      </c>
      <c r="AC245" s="172"/>
      <c r="AD245" s="172"/>
      <c r="AE245" s="187">
        <f>SUM(AB245:AD245)</f>
        <v>0</v>
      </c>
      <c r="AF245" s="138"/>
      <c r="AG245" s="138"/>
      <c r="AH245" s="138"/>
    </row>
    <row r="246" spans="1:34" s="39" customFormat="1" ht="65.25" customHeight="1" hidden="1">
      <c r="A246" s="140"/>
      <c r="B246" s="140"/>
      <c r="C246" s="140"/>
      <c r="D246" s="140"/>
      <c r="E246" s="1" t="s">
        <v>479</v>
      </c>
      <c r="F246" s="80">
        <f t="shared" si="61"/>
        <v>0</v>
      </c>
      <c r="G246" s="103"/>
      <c r="H246" s="103"/>
      <c r="I246" s="103"/>
      <c r="J246" s="103"/>
      <c r="K246" s="103"/>
      <c r="L246" s="103"/>
      <c r="M246" s="209"/>
      <c r="N246" s="103"/>
      <c r="O246" s="80">
        <f>SUM(P246:R246)</f>
        <v>0</v>
      </c>
      <c r="P246" s="103"/>
      <c r="Q246" s="103"/>
      <c r="R246" s="103"/>
      <c r="S246" s="103"/>
      <c r="T246" s="103"/>
      <c r="U246" s="103"/>
      <c r="V246" s="103"/>
      <c r="W246" s="103"/>
      <c r="X246" s="103"/>
      <c r="Y246" s="103"/>
      <c r="Z246" s="103"/>
      <c r="AA246" s="103"/>
      <c r="AB246" s="103">
        <f t="shared" si="77"/>
        <v>0</v>
      </c>
      <c r="AC246" s="103"/>
      <c r="AD246" s="103"/>
      <c r="AE246" s="104">
        <f t="shared" si="78"/>
        <v>0</v>
      </c>
      <c r="AF246" s="138"/>
      <c r="AG246" s="138"/>
      <c r="AH246" s="138"/>
    </row>
    <row r="247" spans="1:34" s="189" customFormat="1" ht="84.75" customHeight="1">
      <c r="A247" s="76"/>
      <c r="B247" s="101" t="s">
        <v>170</v>
      </c>
      <c r="C247" s="101" t="s">
        <v>402</v>
      </c>
      <c r="D247" s="101" t="s">
        <v>270</v>
      </c>
      <c r="E247" s="116" t="s">
        <v>657</v>
      </c>
      <c r="F247" s="80">
        <f t="shared" si="61"/>
        <v>0</v>
      </c>
      <c r="G247" s="172">
        <f>SUM(G248:G249)</f>
        <v>0</v>
      </c>
      <c r="H247" s="172">
        <f aca="true" t="shared" si="92" ref="H247:AA247">SUM(H248:H249)</f>
        <v>0</v>
      </c>
      <c r="I247" s="172">
        <f t="shared" si="92"/>
        <v>2020</v>
      </c>
      <c r="J247" s="172">
        <f t="shared" si="92"/>
        <v>0</v>
      </c>
      <c r="K247" s="172">
        <f t="shared" si="92"/>
        <v>0</v>
      </c>
      <c r="L247" s="172">
        <f t="shared" si="92"/>
        <v>0</v>
      </c>
      <c r="M247" s="172">
        <f t="shared" si="92"/>
        <v>0</v>
      </c>
      <c r="N247" s="172">
        <f t="shared" si="92"/>
        <v>0</v>
      </c>
      <c r="O247" s="193">
        <f t="shared" si="92"/>
        <v>0</v>
      </c>
      <c r="P247" s="172">
        <f t="shared" si="92"/>
        <v>0</v>
      </c>
      <c r="Q247" s="172">
        <f t="shared" si="92"/>
        <v>0</v>
      </c>
      <c r="R247" s="172">
        <f t="shared" si="92"/>
        <v>0</v>
      </c>
      <c r="S247" s="172">
        <f t="shared" si="92"/>
        <v>0</v>
      </c>
      <c r="T247" s="172">
        <f t="shared" si="92"/>
        <v>0</v>
      </c>
      <c r="U247" s="172">
        <f t="shared" si="92"/>
        <v>-2020</v>
      </c>
      <c r="V247" s="172">
        <f t="shared" si="92"/>
        <v>0</v>
      </c>
      <c r="W247" s="172">
        <f t="shared" si="92"/>
        <v>0</v>
      </c>
      <c r="X247" s="172">
        <f t="shared" si="92"/>
        <v>0</v>
      </c>
      <c r="Y247" s="172">
        <f t="shared" si="92"/>
        <v>0</v>
      </c>
      <c r="Z247" s="172">
        <f t="shared" si="92"/>
        <v>0</v>
      </c>
      <c r="AA247" s="172">
        <f t="shared" si="92"/>
        <v>0</v>
      </c>
      <c r="AB247" s="172">
        <f t="shared" si="77"/>
        <v>0</v>
      </c>
      <c r="AC247" s="172"/>
      <c r="AD247" s="172"/>
      <c r="AE247" s="187">
        <f t="shared" si="78"/>
        <v>0</v>
      </c>
      <c r="AF247" s="194"/>
      <c r="AG247" s="194"/>
      <c r="AH247" s="194"/>
    </row>
    <row r="248" spans="1:34" s="214" customFormat="1" ht="68.25" customHeight="1">
      <c r="A248" s="140"/>
      <c r="B248" s="107"/>
      <c r="C248" s="107"/>
      <c r="D248" s="107"/>
      <c r="E248" s="118" t="s">
        <v>689</v>
      </c>
      <c r="F248" s="80">
        <f t="shared" si="61"/>
        <v>0</v>
      </c>
      <c r="G248" s="211"/>
      <c r="H248" s="211"/>
      <c r="I248" s="172">
        <v>2020</v>
      </c>
      <c r="J248" s="211"/>
      <c r="K248" s="211"/>
      <c r="L248" s="211"/>
      <c r="M248" s="212"/>
      <c r="N248" s="211"/>
      <c r="O248" s="80"/>
      <c r="P248" s="211"/>
      <c r="Q248" s="211"/>
      <c r="R248" s="211"/>
      <c r="S248" s="211"/>
      <c r="T248" s="211"/>
      <c r="U248" s="172">
        <v>-2020</v>
      </c>
      <c r="V248" s="211"/>
      <c r="W248" s="211"/>
      <c r="X248" s="211"/>
      <c r="Y248" s="211"/>
      <c r="Z248" s="211"/>
      <c r="AA248" s="211"/>
      <c r="AB248" s="103">
        <f t="shared" si="77"/>
        <v>0</v>
      </c>
      <c r="AC248" s="103"/>
      <c r="AD248" s="103"/>
      <c r="AE248" s="104">
        <f t="shared" si="78"/>
        <v>0</v>
      </c>
      <c r="AF248" s="213"/>
      <c r="AG248" s="213"/>
      <c r="AH248" s="213"/>
    </row>
    <row r="249" spans="1:36" s="214" customFormat="1" ht="63.75" customHeight="1" hidden="1">
      <c r="A249" s="140"/>
      <c r="B249" s="107"/>
      <c r="C249" s="107"/>
      <c r="D249" s="107"/>
      <c r="E249" s="1" t="s">
        <v>410</v>
      </c>
      <c r="F249" s="80">
        <f t="shared" si="61"/>
        <v>0</v>
      </c>
      <c r="G249" s="211"/>
      <c r="H249" s="211"/>
      <c r="I249" s="211"/>
      <c r="J249" s="211"/>
      <c r="K249" s="211"/>
      <c r="L249" s="211"/>
      <c r="M249" s="212"/>
      <c r="N249" s="211"/>
      <c r="O249" s="80"/>
      <c r="P249" s="211"/>
      <c r="Q249" s="211"/>
      <c r="R249" s="211"/>
      <c r="S249" s="211"/>
      <c r="T249" s="211"/>
      <c r="U249" s="211"/>
      <c r="V249" s="211"/>
      <c r="W249" s="211"/>
      <c r="X249" s="211"/>
      <c r="Y249" s="211"/>
      <c r="Z249" s="211"/>
      <c r="AA249" s="211"/>
      <c r="AB249" s="103">
        <f t="shared" si="77"/>
        <v>0</v>
      </c>
      <c r="AC249" s="103"/>
      <c r="AD249" s="103"/>
      <c r="AE249" s="104">
        <f t="shared" si="78"/>
        <v>0</v>
      </c>
      <c r="AF249" s="213"/>
      <c r="AG249" s="213"/>
      <c r="AH249" s="213"/>
      <c r="AI249" s="215"/>
      <c r="AJ249" s="215"/>
    </row>
    <row r="250" spans="1:36" s="214" customFormat="1" ht="37.5" customHeight="1" hidden="1">
      <c r="A250" s="140"/>
      <c r="B250" s="101" t="s">
        <v>653</v>
      </c>
      <c r="C250" s="101" t="s">
        <v>407</v>
      </c>
      <c r="D250" s="101" t="s">
        <v>292</v>
      </c>
      <c r="E250" s="116" t="s">
        <v>92</v>
      </c>
      <c r="F250" s="80"/>
      <c r="G250" s="172">
        <f>G251</f>
        <v>0</v>
      </c>
      <c r="H250" s="172">
        <f aca="true" t="shared" si="93" ref="H250:AA250">H251</f>
        <v>0</v>
      </c>
      <c r="I250" s="172">
        <f t="shared" si="93"/>
        <v>0</v>
      </c>
      <c r="J250" s="172">
        <f t="shared" si="93"/>
        <v>0</v>
      </c>
      <c r="K250" s="172">
        <f t="shared" si="93"/>
        <v>0</v>
      </c>
      <c r="L250" s="172">
        <f t="shared" si="93"/>
        <v>0</v>
      </c>
      <c r="M250" s="172">
        <f t="shared" si="93"/>
        <v>0</v>
      </c>
      <c r="N250" s="172">
        <f t="shared" si="93"/>
        <v>0</v>
      </c>
      <c r="O250" s="193">
        <f t="shared" si="93"/>
        <v>0</v>
      </c>
      <c r="P250" s="172">
        <f t="shared" si="93"/>
        <v>0</v>
      </c>
      <c r="Q250" s="172">
        <f t="shared" si="93"/>
        <v>0</v>
      </c>
      <c r="R250" s="172">
        <f t="shared" si="93"/>
        <v>0</v>
      </c>
      <c r="S250" s="172">
        <f t="shared" si="93"/>
        <v>0</v>
      </c>
      <c r="T250" s="172">
        <f t="shared" si="93"/>
        <v>0</v>
      </c>
      <c r="U250" s="172">
        <f t="shared" si="93"/>
        <v>0</v>
      </c>
      <c r="V250" s="172">
        <f t="shared" si="93"/>
        <v>0</v>
      </c>
      <c r="W250" s="172">
        <f t="shared" si="93"/>
        <v>0</v>
      </c>
      <c r="X250" s="172">
        <f t="shared" si="93"/>
        <v>0</v>
      </c>
      <c r="Y250" s="172">
        <f t="shared" si="93"/>
        <v>0</v>
      </c>
      <c r="Z250" s="172">
        <f t="shared" si="93"/>
        <v>0</v>
      </c>
      <c r="AA250" s="172">
        <f t="shared" si="93"/>
        <v>0</v>
      </c>
      <c r="AB250" s="103">
        <f t="shared" si="77"/>
        <v>0</v>
      </c>
      <c r="AC250" s="103"/>
      <c r="AD250" s="103"/>
      <c r="AE250" s="104">
        <f t="shared" si="78"/>
        <v>0</v>
      </c>
      <c r="AF250" s="213"/>
      <c r="AG250" s="213"/>
      <c r="AH250" s="213"/>
      <c r="AI250" s="215"/>
      <c r="AJ250" s="215"/>
    </row>
    <row r="251" spans="1:36" s="214" customFormat="1" ht="63.75" customHeight="1" hidden="1">
      <c r="A251" s="140"/>
      <c r="B251" s="107"/>
      <c r="C251" s="107"/>
      <c r="D251" s="107"/>
      <c r="E251" s="1" t="s">
        <v>654</v>
      </c>
      <c r="F251" s="80"/>
      <c r="G251" s="211"/>
      <c r="H251" s="211"/>
      <c r="I251" s="211"/>
      <c r="J251" s="211"/>
      <c r="K251" s="211"/>
      <c r="L251" s="172"/>
      <c r="M251" s="212"/>
      <c r="N251" s="211"/>
      <c r="O251" s="80"/>
      <c r="P251" s="211"/>
      <c r="Q251" s="211"/>
      <c r="R251" s="211"/>
      <c r="S251" s="211"/>
      <c r="T251" s="211"/>
      <c r="U251" s="211"/>
      <c r="V251" s="172"/>
      <c r="W251" s="211"/>
      <c r="X251" s="211"/>
      <c r="Y251" s="211"/>
      <c r="Z251" s="211"/>
      <c r="AA251" s="211"/>
      <c r="AB251" s="103">
        <f t="shared" si="77"/>
        <v>0</v>
      </c>
      <c r="AC251" s="103"/>
      <c r="AD251" s="103"/>
      <c r="AE251" s="104">
        <f t="shared" si="78"/>
        <v>0</v>
      </c>
      <c r="AF251" s="213"/>
      <c r="AG251" s="213"/>
      <c r="AH251" s="213"/>
      <c r="AI251" s="215"/>
      <c r="AJ251" s="215"/>
    </row>
    <row r="252" spans="1:36" s="214" customFormat="1" ht="48" customHeight="1">
      <c r="A252" s="140"/>
      <c r="B252" s="101" t="s">
        <v>599</v>
      </c>
      <c r="C252" s="101" t="s">
        <v>600</v>
      </c>
      <c r="D252" s="101" t="s">
        <v>602</v>
      </c>
      <c r="E252" s="116" t="s">
        <v>601</v>
      </c>
      <c r="F252" s="80">
        <f t="shared" si="61"/>
        <v>0</v>
      </c>
      <c r="G252" s="172">
        <f>SUM(G253:G254)</f>
        <v>0</v>
      </c>
      <c r="H252" s="172">
        <f aca="true" t="shared" si="94" ref="H252:AA252">SUM(H253:H254)</f>
        <v>0</v>
      </c>
      <c r="I252" s="172">
        <f t="shared" si="94"/>
        <v>50000</v>
      </c>
      <c r="J252" s="172">
        <f t="shared" si="94"/>
        <v>0</v>
      </c>
      <c r="K252" s="172">
        <f t="shared" si="94"/>
        <v>0</v>
      </c>
      <c r="L252" s="172">
        <f t="shared" si="94"/>
        <v>-50000</v>
      </c>
      <c r="M252" s="172">
        <f t="shared" si="94"/>
        <v>0</v>
      </c>
      <c r="N252" s="172">
        <f t="shared" si="94"/>
        <v>0</v>
      </c>
      <c r="O252" s="193">
        <f t="shared" si="94"/>
        <v>0</v>
      </c>
      <c r="P252" s="172">
        <f t="shared" si="94"/>
        <v>0</v>
      </c>
      <c r="Q252" s="172">
        <f t="shared" si="94"/>
        <v>0</v>
      </c>
      <c r="R252" s="172">
        <f t="shared" si="94"/>
        <v>0</v>
      </c>
      <c r="S252" s="172">
        <f t="shared" si="94"/>
        <v>0</v>
      </c>
      <c r="T252" s="172">
        <f t="shared" si="94"/>
        <v>0</v>
      </c>
      <c r="U252" s="172">
        <f t="shared" si="94"/>
        <v>0</v>
      </c>
      <c r="V252" s="172">
        <f t="shared" si="94"/>
        <v>0</v>
      </c>
      <c r="W252" s="172">
        <f t="shared" si="94"/>
        <v>0</v>
      </c>
      <c r="X252" s="172">
        <f t="shared" si="94"/>
        <v>0</v>
      </c>
      <c r="Y252" s="172">
        <f t="shared" si="94"/>
        <v>0</v>
      </c>
      <c r="Z252" s="172">
        <f t="shared" si="94"/>
        <v>0</v>
      </c>
      <c r="AA252" s="172">
        <f t="shared" si="94"/>
        <v>0</v>
      </c>
      <c r="AB252" s="103">
        <f>SUM(G252:AA252)-O252</f>
        <v>0</v>
      </c>
      <c r="AC252" s="103"/>
      <c r="AD252" s="103"/>
      <c r="AE252" s="104">
        <f>SUM(AB252:AD252)</f>
        <v>0</v>
      </c>
      <c r="AF252" s="213"/>
      <c r="AG252" s="213"/>
      <c r="AH252" s="213"/>
      <c r="AI252" s="215"/>
      <c r="AJ252" s="215"/>
    </row>
    <row r="253" spans="1:36" s="214" customFormat="1" ht="59.25" customHeight="1">
      <c r="A253" s="140"/>
      <c r="B253" s="101"/>
      <c r="C253" s="101"/>
      <c r="D253" s="101"/>
      <c r="E253" s="1" t="s">
        <v>583</v>
      </c>
      <c r="F253" s="80">
        <f t="shared" si="61"/>
        <v>0</v>
      </c>
      <c r="G253" s="172"/>
      <c r="H253" s="172"/>
      <c r="I253" s="172">
        <v>50000</v>
      </c>
      <c r="J253" s="172"/>
      <c r="K253" s="172"/>
      <c r="L253" s="172">
        <v>-50000</v>
      </c>
      <c r="M253" s="172"/>
      <c r="N253" s="172"/>
      <c r="O253" s="193"/>
      <c r="P253" s="172"/>
      <c r="Q253" s="172"/>
      <c r="R253" s="172"/>
      <c r="S253" s="172"/>
      <c r="T253" s="172"/>
      <c r="U253" s="172"/>
      <c r="V253" s="172"/>
      <c r="W253" s="172"/>
      <c r="X253" s="172"/>
      <c r="Y253" s="172"/>
      <c r="Z253" s="172"/>
      <c r="AA253" s="172"/>
      <c r="AB253" s="103">
        <f>SUM(G253:AA253)-O253</f>
        <v>0</v>
      </c>
      <c r="AC253" s="103"/>
      <c r="AD253" s="103"/>
      <c r="AE253" s="104">
        <f>SUM(AB253:AD253)</f>
        <v>0</v>
      </c>
      <c r="AF253" s="133"/>
      <c r="AG253" s="213"/>
      <c r="AH253" s="213"/>
      <c r="AI253" s="215"/>
      <c r="AJ253" s="215"/>
    </row>
    <row r="254" spans="1:36" s="214" customFormat="1" ht="64.5" customHeight="1" hidden="1">
      <c r="A254" s="140"/>
      <c r="B254" s="107"/>
      <c r="C254" s="107"/>
      <c r="D254" s="107"/>
      <c r="E254" s="1" t="s">
        <v>485</v>
      </c>
      <c r="F254" s="80">
        <f t="shared" si="61"/>
        <v>0</v>
      </c>
      <c r="G254" s="211"/>
      <c r="H254" s="211"/>
      <c r="I254" s="172"/>
      <c r="J254" s="211"/>
      <c r="K254" s="211"/>
      <c r="L254" s="172"/>
      <c r="M254" s="212"/>
      <c r="N254" s="211"/>
      <c r="O254" s="80"/>
      <c r="P254" s="211"/>
      <c r="Q254" s="211"/>
      <c r="R254" s="211"/>
      <c r="S254" s="211"/>
      <c r="T254" s="211"/>
      <c r="U254" s="211"/>
      <c r="V254" s="211"/>
      <c r="W254" s="211"/>
      <c r="X254" s="211"/>
      <c r="Y254" s="211"/>
      <c r="Z254" s="211"/>
      <c r="AA254" s="211"/>
      <c r="AB254" s="103">
        <f>SUM(G254:AA254)-O254</f>
        <v>0</v>
      </c>
      <c r="AC254" s="103"/>
      <c r="AD254" s="103"/>
      <c r="AE254" s="104">
        <f>SUM(AB254:AD254)</f>
        <v>0</v>
      </c>
      <c r="AG254" s="216"/>
      <c r="AH254" s="216"/>
      <c r="AI254" s="215"/>
      <c r="AJ254" s="215"/>
    </row>
    <row r="255" spans="1:34" s="39" customFormat="1" ht="40.5" customHeight="1">
      <c r="A255" s="136"/>
      <c r="B255" s="77"/>
      <c r="C255" s="77"/>
      <c r="D255" s="77"/>
      <c r="E255" s="134" t="s">
        <v>359</v>
      </c>
      <c r="F255" s="80">
        <f t="shared" si="61"/>
        <v>0</v>
      </c>
      <c r="G255" s="104">
        <f aca="true" t="shared" si="95" ref="G255:AE255">G210+G213+G216+G218+G221+G225+G230+G233+G236+G240+G243+G247+G252+G250</f>
        <v>-3000</v>
      </c>
      <c r="H255" s="104">
        <f t="shared" si="95"/>
        <v>3000</v>
      </c>
      <c r="I255" s="104">
        <f t="shared" si="95"/>
        <v>332140</v>
      </c>
      <c r="J255" s="104">
        <f t="shared" si="95"/>
        <v>0</v>
      </c>
      <c r="K255" s="104">
        <f t="shared" si="95"/>
        <v>0</v>
      </c>
      <c r="L255" s="104">
        <f t="shared" si="95"/>
        <v>-311009</v>
      </c>
      <c r="M255" s="104">
        <f t="shared" si="95"/>
        <v>-27000</v>
      </c>
      <c r="N255" s="104">
        <f t="shared" si="95"/>
        <v>0</v>
      </c>
      <c r="O255" s="84">
        <f t="shared" si="95"/>
        <v>0</v>
      </c>
      <c r="P255" s="104">
        <f t="shared" si="95"/>
        <v>0</v>
      </c>
      <c r="Q255" s="104">
        <f t="shared" si="95"/>
        <v>0</v>
      </c>
      <c r="R255" s="104">
        <f t="shared" si="95"/>
        <v>-2000</v>
      </c>
      <c r="S255" s="104">
        <f t="shared" si="95"/>
        <v>0</v>
      </c>
      <c r="T255" s="104">
        <f t="shared" si="95"/>
        <v>0</v>
      </c>
      <c r="U255" s="104">
        <f t="shared" si="95"/>
        <v>-419900</v>
      </c>
      <c r="V255" s="104">
        <f t="shared" si="95"/>
        <v>185000</v>
      </c>
      <c r="W255" s="104">
        <f t="shared" si="95"/>
        <v>0</v>
      </c>
      <c r="X255" s="104">
        <f t="shared" si="95"/>
        <v>0</v>
      </c>
      <c r="Y255" s="104">
        <f t="shared" si="95"/>
        <v>0</v>
      </c>
      <c r="Z255" s="104">
        <f t="shared" si="95"/>
        <v>0</v>
      </c>
      <c r="AA255" s="104">
        <f t="shared" si="95"/>
        <v>0</v>
      </c>
      <c r="AB255" s="104">
        <f t="shared" si="95"/>
        <v>-242769</v>
      </c>
      <c r="AC255" s="104">
        <f t="shared" si="95"/>
        <v>0</v>
      </c>
      <c r="AD255" s="104">
        <f t="shared" si="95"/>
        <v>0</v>
      </c>
      <c r="AE255" s="104">
        <f t="shared" si="95"/>
        <v>-242769</v>
      </c>
      <c r="AF255" s="217"/>
      <c r="AG255" s="217"/>
      <c r="AH255" s="217"/>
    </row>
    <row r="256" spans="1:34" s="39" customFormat="1" ht="51" customHeight="1">
      <c r="A256" s="76"/>
      <c r="B256" s="77" t="s">
        <v>68</v>
      </c>
      <c r="C256" s="101"/>
      <c r="D256" s="101"/>
      <c r="E256" s="78" t="s">
        <v>542</v>
      </c>
      <c r="F256" s="80">
        <f aca="true" t="shared" si="96" ref="F256:F330">SUM(G256:H256)</f>
        <v>0</v>
      </c>
      <c r="G256" s="103"/>
      <c r="H256" s="103"/>
      <c r="I256" s="103"/>
      <c r="J256" s="103"/>
      <c r="K256" s="103"/>
      <c r="L256" s="103"/>
      <c r="M256" s="209"/>
      <c r="N256" s="103"/>
      <c r="O256" s="80"/>
      <c r="P256" s="103"/>
      <c r="Q256" s="103"/>
      <c r="R256" s="103"/>
      <c r="S256" s="103"/>
      <c r="T256" s="103"/>
      <c r="U256" s="103"/>
      <c r="V256" s="103"/>
      <c r="W256" s="103"/>
      <c r="X256" s="103"/>
      <c r="Y256" s="103"/>
      <c r="Z256" s="103"/>
      <c r="AA256" s="103"/>
      <c r="AB256" s="103"/>
      <c r="AC256" s="103"/>
      <c r="AD256" s="103"/>
      <c r="AE256" s="104"/>
      <c r="AF256" s="38"/>
      <c r="AG256" s="38"/>
      <c r="AH256" s="38"/>
    </row>
    <row r="257" spans="1:34" s="39" customFormat="1" ht="42" customHeight="1">
      <c r="A257" s="76"/>
      <c r="B257" s="93" t="s">
        <v>69</v>
      </c>
      <c r="C257" s="101"/>
      <c r="D257" s="101"/>
      <c r="E257" s="78" t="s">
        <v>543</v>
      </c>
      <c r="F257" s="80">
        <f t="shared" si="96"/>
        <v>0</v>
      </c>
      <c r="G257" s="103"/>
      <c r="H257" s="103"/>
      <c r="I257" s="103"/>
      <c r="J257" s="103"/>
      <c r="K257" s="103"/>
      <c r="L257" s="103"/>
      <c r="M257" s="209"/>
      <c r="N257" s="103"/>
      <c r="O257" s="80"/>
      <c r="P257" s="103"/>
      <c r="Q257" s="103"/>
      <c r="R257" s="103"/>
      <c r="S257" s="103"/>
      <c r="T257" s="103"/>
      <c r="U257" s="103"/>
      <c r="V257" s="103"/>
      <c r="W257" s="103"/>
      <c r="X257" s="103"/>
      <c r="Y257" s="103"/>
      <c r="Z257" s="103"/>
      <c r="AA257" s="103"/>
      <c r="AB257" s="103"/>
      <c r="AC257" s="103"/>
      <c r="AD257" s="103"/>
      <c r="AE257" s="104"/>
      <c r="AF257" s="38"/>
      <c r="AG257" s="38"/>
      <c r="AH257" s="38"/>
    </row>
    <row r="258" spans="1:34" s="39" customFormat="1" ht="57" customHeight="1">
      <c r="A258" s="76" t="s">
        <v>260</v>
      </c>
      <c r="B258" s="101" t="s">
        <v>476</v>
      </c>
      <c r="C258" s="101" t="s">
        <v>317</v>
      </c>
      <c r="D258" s="101" t="s">
        <v>261</v>
      </c>
      <c r="E258" s="116" t="s">
        <v>70</v>
      </c>
      <c r="F258" s="80">
        <f t="shared" si="96"/>
        <v>0</v>
      </c>
      <c r="G258" s="103">
        <f>G259+G260</f>
        <v>0</v>
      </c>
      <c r="H258" s="103">
        <f>H259+H260</f>
        <v>0</v>
      </c>
      <c r="I258" s="103">
        <f>I259+I260</f>
        <v>8231</v>
      </c>
      <c r="J258" s="103">
        <f aca="true" t="shared" si="97" ref="J258:Z258">J259+J260</f>
        <v>0</v>
      </c>
      <c r="K258" s="103">
        <f t="shared" si="97"/>
        <v>0</v>
      </c>
      <c r="L258" s="103">
        <f t="shared" si="97"/>
        <v>0</v>
      </c>
      <c r="M258" s="103">
        <f t="shared" si="97"/>
        <v>-5000</v>
      </c>
      <c r="N258" s="103">
        <f t="shared" si="97"/>
        <v>0</v>
      </c>
      <c r="O258" s="80">
        <f t="shared" si="97"/>
        <v>0</v>
      </c>
      <c r="P258" s="103">
        <f t="shared" si="97"/>
        <v>0</v>
      </c>
      <c r="Q258" s="103">
        <f t="shared" si="97"/>
        <v>0</v>
      </c>
      <c r="R258" s="103">
        <f t="shared" si="97"/>
        <v>0</v>
      </c>
      <c r="S258" s="103">
        <f t="shared" si="97"/>
        <v>0</v>
      </c>
      <c r="T258" s="103">
        <f t="shared" si="97"/>
        <v>0</v>
      </c>
      <c r="U258" s="103">
        <f t="shared" si="97"/>
        <v>0</v>
      </c>
      <c r="V258" s="103">
        <f t="shared" si="97"/>
        <v>0</v>
      </c>
      <c r="W258" s="103">
        <f t="shared" si="97"/>
        <v>0</v>
      </c>
      <c r="X258" s="103">
        <f t="shared" si="97"/>
        <v>0</v>
      </c>
      <c r="Y258" s="103">
        <f t="shared" si="97"/>
        <v>0</v>
      </c>
      <c r="Z258" s="103">
        <f t="shared" si="97"/>
        <v>0</v>
      </c>
      <c r="AA258" s="103">
        <f>AA259</f>
        <v>-3231</v>
      </c>
      <c r="AB258" s="103">
        <f aca="true" t="shared" si="98" ref="AB258:AB309">SUM(G258:AA258)-O258</f>
        <v>0</v>
      </c>
      <c r="AC258" s="103"/>
      <c r="AD258" s="103"/>
      <c r="AE258" s="104">
        <f aca="true" t="shared" si="99" ref="AE258:AE309">SUM(AB258:AD258)</f>
        <v>0</v>
      </c>
      <c r="AF258" s="208"/>
      <c r="AG258" s="208"/>
      <c r="AH258" s="208"/>
    </row>
    <row r="259" spans="1:34" s="214" customFormat="1" ht="61.5" customHeight="1">
      <c r="A259" s="140"/>
      <c r="B259" s="107"/>
      <c r="C259" s="107"/>
      <c r="D259" s="107"/>
      <c r="E259" s="1" t="s">
        <v>72</v>
      </c>
      <c r="F259" s="80">
        <f t="shared" si="96"/>
        <v>0</v>
      </c>
      <c r="G259" s="175"/>
      <c r="H259" s="175"/>
      <c r="I259" s="172">
        <v>8231</v>
      </c>
      <c r="J259" s="175"/>
      <c r="K259" s="175"/>
      <c r="L259" s="172"/>
      <c r="M259" s="218">
        <v>-5000</v>
      </c>
      <c r="N259" s="172"/>
      <c r="O259" s="193"/>
      <c r="P259" s="172"/>
      <c r="Q259" s="172"/>
      <c r="R259" s="172"/>
      <c r="S259" s="172"/>
      <c r="T259" s="172"/>
      <c r="U259" s="172"/>
      <c r="V259" s="172"/>
      <c r="W259" s="172"/>
      <c r="X259" s="172"/>
      <c r="Y259" s="172"/>
      <c r="Z259" s="172"/>
      <c r="AA259" s="172">
        <v>-3231</v>
      </c>
      <c r="AB259" s="172">
        <f t="shared" si="98"/>
        <v>0</v>
      </c>
      <c r="AC259" s="172"/>
      <c r="AD259" s="172"/>
      <c r="AE259" s="187">
        <f t="shared" si="99"/>
        <v>0</v>
      </c>
      <c r="AF259" s="219"/>
      <c r="AG259" s="219"/>
      <c r="AH259" s="219"/>
    </row>
    <row r="260" spans="1:34" s="214" customFormat="1" ht="75.75" customHeight="1" hidden="1">
      <c r="A260" s="140"/>
      <c r="B260" s="107"/>
      <c r="C260" s="107"/>
      <c r="D260" s="107"/>
      <c r="E260" s="1" t="s">
        <v>227</v>
      </c>
      <c r="F260" s="80">
        <f t="shared" si="96"/>
        <v>0</v>
      </c>
      <c r="G260" s="175"/>
      <c r="H260" s="175"/>
      <c r="I260" s="172"/>
      <c r="J260" s="175"/>
      <c r="K260" s="175"/>
      <c r="L260" s="172"/>
      <c r="M260" s="218"/>
      <c r="N260" s="172"/>
      <c r="O260" s="193"/>
      <c r="P260" s="172"/>
      <c r="Q260" s="172"/>
      <c r="R260" s="172"/>
      <c r="S260" s="172"/>
      <c r="T260" s="172"/>
      <c r="U260" s="172"/>
      <c r="V260" s="172"/>
      <c r="W260" s="172"/>
      <c r="X260" s="172"/>
      <c r="Y260" s="172"/>
      <c r="Z260" s="172"/>
      <c r="AA260" s="172"/>
      <c r="AB260" s="172">
        <f>SUM(G260:AA260)-O260</f>
        <v>0</v>
      </c>
      <c r="AC260" s="172"/>
      <c r="AD260" s="172"/>
      <c r="AE260" s="187">
        <f>SUM(AB260:AD260)</f>
        <v>0</v>
      </c>
      <c r="AF260" s="220"/>
      <c r="AG260" s="220"/>
      <c r="AH260" s="220"/>
    </row>
    <row r="261" spans="1:34" s="189" customFormat="1" ht="46.5" customHeight="1">
      <c r="A261" s="76"/>
      <c r="B261" s="101" t="s">
        <v>88</v>
      </c>
      <c r="C261" s="101" t="s">
        <v>74</v>
      </c>
      <c r="D261" s="101" t="s">
        <v>597</v>
      </c>
      <c r="E261" s="116" t="s">
        <v>81</v>
      </c>
      <c r="F261" s="80">
        <f t="shared" si="96"/>
        <v>0</v>
      </c>
      <c r="G261" s="172">
        <f aca="true" t="shared" si="100" ref="G261:N261">SUM(G262:G265)</f>
        <v>0</v>
      </c>
      <c r="H261" s="172">
        <f t="shared" si="100"/>
        <v>0</v>
      </c>
      <c r="I261" s="172">
        <f t="shared" si="100"/>
        <v>59818</v>
      </c>
      <c r="J261" s="172">
        <f t="shared" si="100"/>
        <v>0</v>
      </c>
      <c r="K261" s="172">
        <f t="shared" si="100"/>
        <v>0</v>
      </c>
      <c r="L261" s="198">
        <f t="shared" si="100"/>
        <v>-59818</v>
      </c>
      <c r="M261" s="172">
        <f t="shared" si="100"/>
        <v>0</v>
      </c>
      <c r="N261" s="172">
        <f t="shared" si="100"/>
        <v>0</v>
      </c>
      <c r="O261" s="193">
        <f>SUM(P261:R261)</f>
        <v>0</v>
      </c>
      <c r="P261" s="172">
        <f aca="true" t="shared" si="101" ref="P261:AA261">SUM(P262:P265)</f>
        <v>0</v>
      </c>
      <c r="Q261" s="172">
        <f t="shared" si="101"/>
        <v>0</v>
      </c>
      <c r="R261" s="172">
        <f t="shared" si="101"/>
        <v>0</v>
      </c>
      <c r="S261" s="172">
        <f t="shared" si="101"/>
        <v>0</v>
      </c>
      <c r="T261" s="172">
        <f t="shared" si="101"/>
        <v>0</v>
      </c>
      <c r="U261" s="172">
        <f t="shared" si="101"/>
        <v>0</v>
      </c>
      <c r="V261" s="172">
        <f t="shared" si="101"/>
        <v>0</v>
      </c>
      <c r="W261" s="172">
        <f t="shared" si="101"/>
        <v>0</v>
      </c>
      <c r="X261" s="172">
        <f t="shared" si="101"/>
        <v>0</v>
      </c>
      <c r="Y261" s="172">
        <f t="shared" si="101"/>
        <v>0</v>
      </c>
      <c r="Z261" s="172">
        <f t="shared" si="101"/>
        <v>0</v>
      </c>
      <c r="AA261" s="172">
        <f t="shared" si="101"/>
        <v>0</v>
      </c>
      <c r="AB261" s="198">
        <f t="shared" si="98"/>
        <v>0</v>
      </c>
      <c r="AC261" s="172"/>
      <c r="AD261" s="172"/>
      <c r="AE261" s="187">
        <f t="shared" si="99"/>
        <v>0</v>
      </c>
      <c r="AF261" s="194"/>
      <c r="AG261" s="194"/>
      <c r="AH261" s="194"/>
    </row>
    <row r="262" spans="1:34" s="39" customFormat="1" ht="70.5" customHeight="1" hidden="1">
      <c r="A262" s="76"/>
      <c r="B262" s="107"/>
      <c r="C262" s="107"/>
      <c r="D262" s="107"/>
      <c r="E262" s="1" t="s">
        <v>514</v>
      </c>
      <c r="F262" s="80">
        <f t="shared" si="96"/>
        <v>0</v>
      </c>
      <c r="G262" s="103"/>
      <c r="H262" s="103"/>
      <c r="I262" s="103"/>
      <c r="J262" s="103"/>
      <c r="K262" s="103"/>
      <c r="L262" s="103"/>
      <c r="M262" s="103"/>
      <c r="N262" s="103"/>
      <c r="O262" s="80"/>
      <c r="P262" s="103"/>
      <c r="Q262" s="103"/>
      <c r="R262" s="103"/>
      <c r="S262" s="103"/>
      <c r="T262" s="103"/>
      <c r="U262" s="103"/>
      <c r="V262" s="103"/>
      <c r="W262" s="103"/>
      <c r="X262" s="103"/>
      <c r="Y262" s="103"/>
      <c r="Z262" s="103"/>
      <c r="AA262" s="103"/>
      <c r="AB262" s="103">
        <f t="shared" si="98"/>
        <v>0</v>
      </c>
      <c r="AC262" s="103"/>
      <c r="AD262" s="103"/>
      <c r="AE262" s="104">
        <f t="shared" si="99"/>
        <v>0</v>
      </c>
      <c r="AF262" s="123"/>
      <c r="AG262" s="123"/>
      <c r="AH262" s="123"/>
    </row>
    <row r="263" spans="1:34" s="39" customFormat="1" ht="61.5" customHeight="1">
      <c r="A263" s="76"/>
      <c r="B263" s="107"/>
      <c r="C263" s="107"/>
      <c r="D263" s="107"/>
      <c r="E263" s="1" t="s">
        <v>690</v>
      </c>
      <c r="F263" s="80">
        <f t="shared" si="96"/>
        <v>0</v>
      </c>
      <c r="G263" s="103"/>
      <c r="H263" s="103"/>
      <c r="I263" s="103">
        <v>59818</v>
      </c>
      <c r="J263" s="103"/>
      <c r="K263" s="103"/>
      <c r="L263" s="103">
        <v>-59818</v>
      </c>
      <c r="M263" s="103"/>
      <c r="N263" s="103"/>
      <c r="O263" s="80"/>
      <c r="P263" s="103"/>
      <c r="Q263" s="103"/>
      <c r="R263" s="103"/>
      <c r="S263" s="103"/>
      <c r="T263" s="103"/>
      <c r="U263" s="103"/>
      <c r="V263" s="103"/>
      <c r="W263" s="103"/>
      <c r="X263" s="103"/>
      <c r="Y263" s="103"/>
      <c r="Z263" s="103"/>
      <c r="AA263" s="103"/>
      <c r="AB263" s="32">
        <f>SUM(G263:AA263)-O263</f>
        <v>0</v>
      </c>
      <c r="AC263" s="103"/>
      <c r="AD263" s="103"/>
      <c r="AE263" s="104">
        <f t="shared" si="99"/>
        <v>0</v>
      </c>
      <c r="AF263" s="138"/>
      <c r="AG263" s="138"/>
      <c r="AH263" s="138"/>
    </row>
    <row r="264" spans="1:34" s="39" customFormat="1" ht="62.25" customHeight="1" hidden="1">
      <c r="A264" s="76"/>
      <c r="B264" s="107"/>
      <c r="C264" s="107"/>
      <c r="D264" s="107"/>
      <c r="E264" s="1" t="s">
        <v>405</v>
      </c>
      <c r="F264" s="80">
        <f t="shared" si="96"/>
        <v>0</v>
      </c>
      <c r="G264" s="103"/>
      <c r="H264" s="103"/>
      <c r="I264" s="103"/>
      <c r="J264" s="103"/>
      <c r="K264" s="103"/>
      <c r="L264" s="103"/>
      <c r="M264" s="103"/>
      <c r="N264" s="103"/>
      <c r="O264" s="80"/>
      <c r="P264" s="103"/>
      <c r="Q264" s="103"/>
      <c r="R264" s="103"/>
      <c r="S264" s="103"/>
      <c r="T264" s="103"/>
      <c r="U264" s="103"/>
      <c r="V264" s="103"/>
      <c r="W264" s="103"/>
      <c r="X264" s="103"/>
      <c r="Y264" s="103"/>
      <c r="Z264" s="103"/>
      <c r="AA264" s="103"/>
      <c r="AB264" s="103">
        <f t="shared" si="98"/>
        <v>0</v>
      </c>
      <c r="AC264" s="103"/>
      <c r="AD264" s="103"/>
      <c r="AE264" s="104">
        <f t="shared" si="99"/>
        <v>0</v>
      </c>
      <c r="AF264" s="38"/>
      <c r="AG264" s="38"/>
      <c r="AH264" s="38"/>
    </row>
    <row r="265" spans="1:34" s="39" customFormat="1" ht="54.75" customHeight="1" hidden="1">
      <c r="A265" s="76"/>
      <c r="B265" s="107"/>
      <c r="C265" s="107"/>
      <c r="D265" s="107"/>
      <c r="E265" s="1" t="s">
        <v>223</v>
      </c>
      <c r="F265" s="80">
        <f t="shared" si="96"/>
        <v>0</v>
      </c>
      <c r="G265" s="103"/>
      <c r="H265" s="103"/>
      <c r="I265" s="103"/>
      <c r="J265" s="103"/>
      <c r="K265" s="103"/>
      <c r="L265" s="103"/>
      <c r="M265" s="103"/>
      <c r="N265" s="103"/>
      <c r="O265" s="80">
        <f>SUM(P265:R265)</f>
        <v>0</v>
      </c>
      <c r="P265" s="103"/>
      <c r="Q265" s="103"/>
      <c r="R265" s="103"/>
      <c r="S265" s="103"/>
      <c r="T265" s="103"/>
      <c r="U265" s="103"/>
      <c r="V265" s="103"/>
      <c r="W265" s="103"/>
      <c r="X265" s="103"/>
      <c r="Y265" s="103"/>
      <c r="Z265" s="103"/>
      <c r="AA265" s="103"/>
      <c r="AB265" s="103">
        <f t="shared" si="98"/>
        <v>0</v>
      </c>
      <c r="AC265" s="103"/>
      <c r="AD265" s="103"/>
      <c r="AE265" s="104">
        <f t="shared" si="99"/>
        <v>0</v>
      </c>
      <c r="AF265" s="38"/>
      <c r="AG265" s="38"/>
      <c r="AH265" s="38"/>
    </row>
    <row r="266" spans="1:34" s="39" customFormat="1" ht="49.5" customHeight="1" hidden="1">
      <c r="A266" s="76"/>
      <c r="B266" s="101" t="s">
        <v>179</v>
      </c>
      <c r="C266" s="101" t="s">
        <v>75</v>
      </c>
      <c r="D266" s="101" t="s">
        <v>292</v>
      </c>
      <c r="E266" s="116" t="s">
        <v>82</v>
      </c>
      <c r="F266" s="80">
        <f t="shared" si="96"/>
        <v>0</v>
      </c>
      <c r="G266" s="103">
        <f>G267</f>
        <v>0</v>
      </c>
      <c r="H266" s="103">
        <f aca="true" t="shared" si="102" ref="H266:AA266">H267</f>
        <v>0</v>
      </c>
      <c r="I266" s="103">
        <f t="shared" si="102"/>
        <v>0</v>
      </c>
      <c r="J266" s="103">
        <f t="shared" si="102"/>
        <v>0</v>
      </c>
      <c r="K266" s="103">
        <f t="shared" si="102"/>
        <v>0</v>
      </c>
      <c r="L266" s="103">
        <f t="shared" si="102"/>
        <v>0</v>
      </c>
      <c r="M266" s="103">
        <f t="shared" si="102"/>
        <v>0</v>
      </c>
      <c r="N266" s="103">
        <f t="shared" si="102"/>
        <v>0</v>
      </c>
      <c r="O266" s="80">
        <f t="shared" si="102"/>
        <v>0</v>
      </c>
      <c r="P266" s="103">
        <f t="shared" si="102"/>
        <v>0</v>
      </c>
      <c r="Q266" s="103">
        <f t="shared" si="102"/>
        <v>0</v>
      </c>
      <c r="R266" s="103">
        <f t="shared" si="102"/>
        <v>0</v>
      </c>
      <c r="S266" s="103">
        <f t="shared" si="102"/>
        <v>0</v>
      </c>
      <c r="T266" s="103">
        <f t="shared" si="102"/>
        <v>0</v>
      </c>
      <c r="U266" s="103">
        <f t="shared" si="102"/>
        <v>0</v>
      </c>
      <c r="V266" s="103">
        <f>V267</f>
        <v>0</v>
      </c>
      <c r="W266" s="103">
        <f t="shared" si="102"/>
        <v>0</v>
      </c>
      <c r="X266" s="103">
        <f t="shared" si="102"/>
        <v>0</v>
      </c>
      <c r="Y266" s="103">
        <f t="shared" si="102"/>
        <v>0</v>
      </c>
      <c r="Z266" s="103">
        <f t="shared" si="102"/>
        <v>0</v>
      </c>
      <c r="AA266" s="103">
        <f t="shared" si="102"/>
        <v>0</v>
      </c>
      <c r="AB266" s="103">
        <f t="shared" si="98"/>
        <v>0</v>
      </c>
      <c r="AC266" s="103"/>
      <c r="AD266" s="103"/>
      <c r="AE266" s="104">
        <f t="shared" si="99"/>
        <v>0</v>
      </c>
      <c r="AF266" s="38"/>
      <c r="AG266" s="38"/>
      <c r="AH266" s="38"/>
    </row>
    <row r="267" spans="1:34" s="39" customFormat="1" ht="60" customHeight="1" hidden="1">
      <c r="A267" s="76"/>
      <c r="B267" s="107"/>
      <c r="C267" s="107"/>
      <c r="D267" s="107"/>
      <c r="E267" s="1" t="s">
        <v>589</v>
      </c>
      <c r="F267" s="80"/>
      <c r="G267" s="103"/>
      <c r="H267" s="103"/>
      <c r="I267" s="103"/>
      <c r="J267" s="103"/>
      <c r="K267" s="103"/>
      <c r="L267" s="103"/>
      <c r="M267" s="103"/>
      <c r="N267" s="103"/>
      <c r="O267" s="80"/>
      <c r="P267" s="103"/>
      <c r="Q267" s="103"/>
      <c r="R267" s="103"/>
      <c r="S267" s="103"/>
      <c r="T267" s="103"/>
      <c r="U267" s="103"/>
      <c r="V267" s="103"/>
      <c r="W267" s="103"/>
      <c r="X267" s="103"/>
      <c r="Y267" s="103"/>
      <c r="Z267" s="103"/>
      <c r="AA267" s="103"/>
      <c r="AB267" s="103">
        <f>SUM(G267:AA267)-O267</f>
        <v>0</v>
      </c>
      <c r="AC267" s="103"/>
      <c r="AD267" s="103"/>
      <c r="AE267" s="104">
        <f>SUM(AB267:AD267)</f>
        <v>0</v>
      </c>
      <c r="AF267" s="38"/>
      <c r="AG267" s="38"/>
      <c r="AH267" s="38"/>
    </row>
    <row r="268" spans="1:34" s="39" customFormat="1" ht="48" customHeight="1">
      <c r="A268" s="76"/>
      <c r="B268" s="101" t="s">
        <v>180</v>
      </c>
      <c r="C268" s="101" t="s">
        <v>76</v>
      </c>
      <c r="D268" s="101" t="s">
        <v>292</v>
      </c>
      <c r="E268" s="116" t="s">
        <v>83</v>
      </c>
      <c r="F268" s="80">
        <f t="shared" si="96"/>
        <v>0</v>
      </c>
      <c r="G268" s="103">
        <f aca="true" t="shared" si="103" ref="G268:L268">SUM(G269:G271)</f>
        <v>0</v>
      </c>
      <c r="H268" s="103">
        <f t="shared" si="103"/>
        <v>0</v>
      </c>
      <c r="I268" s="103">
        <f t="shared" si="103"/>
        <v>0</v>
      </c>
      <c r="J268" s="103">
        <f t="shared" si="103"/>
        <v>0</v>
      </c>
      <c r="K268" s="103">
        <f t="shared" si="103"/>
        <v>0</v>
      </c>
      <c r="L268" s="103">
        <f t="shared" si="103"/>
        <v>-52140</v>
      </c>
      <c r="M268" s="103">
        <f aca="true" t="shared" si="104" ref="M268:AA268">SUM(M269:M271)</f>
        <v>0</v>
      </c>
      <c r="N268" s="103">
        <f t="shared" si="104"/>
        <v>0</v>
      </c>
      <c r="O268" s="80">
        <f t="shared" si="104"/>
        <v>0</v>
      </c>
      <c r="P268" s="103">
        <f t="shared" si="104"/>
        <v>0</v>
      </c>
      <c r="Q268" s="103">
        <f t="shared" si="104"/>
        <v>0</v>
      </c>
      <c r="R268" s="103">
        <f t="shared" si="104"/>
        <v>0</v>
      </c>
      <c r="S268" s="103">
        <f t="shared" si="104"/>
        <v>0</v>
      </c>
      <c r="T268" s="103">
        <f t="shared" si="104"/>
        <v>0</v>
      </c>
      <c r="U268" s="103">
        <f t="shared" si="104"/>
        <v>0</v>
      </c>
      <c r="V268" s="103">
        <f t="shared" si="104"/>
        <v>270000</v>
      </c>
      <c r="W268" s="103">
        <f t="shared" si="104"/>
        <v>0</v>
      </c>
      <c r="X268" s="103">
        <f t="shared" si="104"/>
        <v>0</v>
      </c>
      <c r="Y268" s="103">
        <f t="shared" si="104"/>
        <v>0</v>
      </c>
      <c r="Z268" s="103">
        <f t="shared" si="104"/>
        <v>0</v>
      </c>
      <c r="AA268" s="103">
        <f t="shared" si="104"/>
        <v>0</v>
      </c>
      <c r="AB268" s="103">
        <f t="shared" si="98"/>
        <v>217860</v>
      </c>
      <c r="AC268" s="103">
        <f aca="true" t="shared" si="105" ref="AC268:AD270">AC276</f>
        <v>0</v>
      </c>
      <c r="AD268" s="103">
        <f t="shared" si="105"/>
        <v>0</v>
      </c>
      <c r="AE268" s="104">
        <f t="shared" si="99"/>
        <v>217860</v>
      </c>
      <c r="AF268" s="38"/>
      <c r="AG268" s="38"/>
      <c r="AH268" s="38"/>
    </row>
    <row r="269" spans="1:34" s="39" customFormat="1" ht="69" customHeight="1">
      <c r="A269" s="76"/>
      <c r="B269" s="107"/>
      <c r="C269" s="107"/>
      <c r="D269" s="107"/>
      <c r="E269" s="1" t="s">
        <v>691</v>
      </c>
      <c r="F269" s="80"/>
      <c r="G269" s="103"/>
      <c r="H269" s="103"/>
      <c r="I269" s="103"/>
      <c r="J269" s="103"/>
      <c r="K269" s="103"/>
      <c r="L269" s="103"/>
      <c r="M269" s="103"/>
      <c r="N269" s="103"/>
      <c r="O269" s="80"/>
      <c r="P269" s="103"/>
      <c r="Q269" s="103"/>
      <c r="R269" s="103"/>
      <c r="S269" s="103"/>
      <c r="T269" s="103"/>
      <c r="U269" s="103"/>
      <c r="V269" s="103">
        <v>270000</v>
      </c>
      <c r="W269" s="103"/>
      <c r="X269" s="103"/>
      <c r="Y269" s="103"/>
      <c r="Z269" s="103"/>
      <c r="AA269" s="103"/>
      <c r="AB269" s="103">
        <f>SUM(G269:AA269)-O269</f>
        <v>270000</v>
      </c>
      <c r="AC269" s="103">
        <f t="shared" si="105"/>
        <v>0</v>
      </c>
      <c r="AD269" s="103">
        <f t="shared" si="105"/>
        <v>0</v>
      </c>
      <c r="AE269" s="104">
        <f>SUM(AB269:AD269)</f>
        <v>270000</v>
      </c>
      <c r="AF269" s="38"/>
      <c r="AG269" s="38"/>
      <c r="AH269" s="38"/>
    </row>
    <row r="270" spans="1:34" s="39" customFormat="1" ht="78" customHeight="1">
      <c r="A270" s="76"/>
      <c r="B270" s="107"/>
      <c r="C270" s="107"/>
      <c r="D270" s="107"/>
      <c r="E270" s="1" t="s">
        <v>651</v>
      </c>
      <c r="F270" s="80"/>
      <c r="G270" s="103"/>
      <c r="H270" s="103"/>
      <c r="I270" s="103"/>
      <c r="J270" s="103"/>
      <c r="K270" s="103"/>
      <c r="L270" s="103">
        <v>-52140</v>
      </c>
      <c r="M270" s="103"/>
      <c r="N270" s="103"/>
      <c r="O270" s="80"/>
      <c r="P270" s="103"/>
      <c r="Q270" s="103"/>
      <c r="R270" s="103"/>
      <c r="S270" s="103"/>
      <c r="T270" s="103"/>
      <c r="U270" s="103"/>
      <c r="V270" s="103"/>
      <c r="W270" s="103"/>
      <c r="X270" s="103"/>
      <c r="Y270" s="103"/>
      <c r="Z270" s="103"/>
      <c r="AA270" s="103"/>
      <c r="AB270" s="103">
        <f>SUM(G270:AA270)-O270</f>
        <v>-52140</v>
      </c>
      <c r="AC270" s="103">
        <f t="shared" si="105"/>
        <v>0</v>
      </c>
      <c r="AD270" s="103">
        <f t="shared" si="105"/>
        <v>0</v>
      </c>
      <c r="AE270" s="104">
        <f>SUM(AB270:AD270)</f>
        <v>-52140</v>
      </c>
      <c r="AF270" s="138"/>
      <c r="AG270" s="138"/>
      <c r="AH270" s="138"/>
    </row>
    <row r="271" spans="1:34" s="39" customFormat="1" ht="63" customHeight="1" hidden="1">
      <c r="A271" s="76"/>
      <c r="B271" s="107"/>
      <c r="C271" s="107"/>
      <c r="D271" s="107"/>
      <c r="E271" s="1" t="s">
        <v>209</v>
      </c>
      <c r="F271" s="80">
        <f t="shared" si="96"/>
        <v>0</v>
      </c>
      <c r="G271" s="103"/>
      <c r="H271" s="103"/>
      <c r="I271" s="103"/>
      <c r="J271" s="103"/>
      <c r="K271" s="103"/>
      <c r="L271" s="103"/>
      <c r="M271" s="103"/>
      <c r="N271" s="103"/>
      <c r="O271" s="80"/>
      <c r="P271" s="103"/>
      <c r="Q271" s="103"/>
      <c r="R271" s="103"/>
      <c r="S271" s="103"/>
      <c r="T271" s="103"/>
      <c r="U271" s="103"/>
      <c r="V271" s="103"/>
      <c r="W271" s="103"/>
      <c r="X271" s="103"/>
      <c r="Y271" s="103"/>
      <c r="Z271" s="103"/>
      <c r="AA271" s="103"/>
      <c r="AB271" s="103">
        <f t="shared" si="98"/>
        <v>0</v>
      </c>
      <c r="AC271" s="103">
        <f>AC277</f>
        <v>0</v>
      </c>
      <c r="AD271" s="103">
        <f>AD277</f>
        <v>0</v>
      </c>
      <c r="AE271" s="104">
        <f t="shared" si="99"/>
        <v>0</v>
      </c>
      <c r="AF271" s="38"/>
      <c r="AG271" s="38"/>
      <c r="AH271" s="38"/>
    </row>
    <row r="272" spans="1:34" s="39" customFormat="1" ht="24" customHeight="1" hidden="1">
      <c r="A272" s="76"/>
      <c r="B272" s="107" t="s">
        <v>181</v>
      </c>
      <c r="C272" s="107" t="s">
        <v>77</v>
      </c>
      <c r="D272" s="107" t="s">
        <v>292</v>
      </c>
      <c r="E272" s="1" t="s">
        <v>84</v>
      </c>
      <c r="F272" s="80">
        <f t="shared" si="96"/>
        <v>0</v>
      </c>
      <c r="G272" s="103"/>
      <c r="H272" s="103"/>
      <c r="I272" s="103"/>
      <c r="J272" s="103"/>
      <c r="K272" s="103"/>
      <c r="L272" s="103"/>
      <c r="M272" s="103"/>
      <c r="N272" s="103"/>
      <c r="O272" s="80">
        <f>SUM(P272:R272)</f>
        <v>0</v>
      </c>
      <c r="P272" s="103"/>
      <c r="Q272" s="103"/>
      <c r="R272" s="103"/>
      <c r="S272" s="103"/>
      <c r="T272" s="103"/>
      <c r="U272" s="103"/>
      <c r="V272" s="103"/>
      <c r="W272" s="103"/>
      <c r="X272" s="103"/>
      <c r="Y272" s="103"/>
      <c r="Z272" s="103"/>
      <c r="AA272" s="103"/>
      <c r="AB272" s="103">
        <f t="shared" si="98"/>
        <v>0</v>
      </c>
      <c r="AC272" s="103">
        <f aca="true" t="shared" si="106" ref="AC272:AD274">AC277</f>
        <v>0</v>
      </c>
      <c r="AD272" s="103">
        <f t="shared" si="106"/>
        <v>0</v>
      </c>
      <c r="AE272" s="104">
        <f t="shared" si="99"/>
        <v>0</v>
      </c>
      <c r="AF272" s="38"/>
      <c r="AG272" s="38"/>
      <c r="AH272" s="38"/>
    </row>
    <row r="273" spans="1:34" s="39" customFormat="1" ht="24" customHeight="1" hidden="1">
      <c r="A273" s="76"/>
      <c r="B273" s="107" t="s">
        <v>182</v>
      </c>
      <c r="C273" s="107" t="s">
        <v>78</v>
      </c>
      <c r="D273" s="107" t="s">
        <v>292</v>
      </c>
      <c r="E273" s="1" t="s">
        <v>85</v>
      </c>
      <c r="F273" s="80">
        <f t="shared" si="96"/>
        <v>0</v>
      </c>
      <c r="G273" s="103"/>
      <c r="H273" s="103"/>
      <c r="I273" s="103"/>
      <c r="J273" s="103"/>
      <c r="K273" s="103"/>
      <c r="L273" s="103"/>
      <c r="M273" s="103"/>
      <c r="N273" s="103"/>
      <c r="O273" s="80">
        <f>SUM(P273:R273)</f>
        <v>0</v>
      </c>
      <c r="P273" s="103"/>
      <c r="Q273" s="103"/>
      <c r="R273" s="103"/>
      <c r="S273" s="103"/>
      <c r="T273" s="103"/>
      <c r="U273" s="103"/>
      <c r="V273" s="103"/>
      <c r="W273" s="103"/>
      <c r="X273" s="103"/>
      <c r="Y273" s="103"/>
      <c r="Z273" s="103"/>
      <c r="AA273" s="103"/>
      <c r="AB273" s="103">
        <f t="shared" si="98"/>
        <v>0</v>
      </c>
      <c r="AC273" s="103">
        <f t="shared" si="106"/>
        <v>0</v>
      </c>
      <c r="AD273" s="103">
        <f t="shared" si="106"/>
        <v>0</v>
      </c>
      <c r="AE273" s="104">
        <f t="shared" si="99"/>
        <v>0</v>
      </c>
      <c r="AF273" s="38"/>
      <c r="AG273" s="38"/>
      <c r="AH273" s="38"/>
    </row>
    <row r="274" spans="1:34" s="39" customFormat="1" ht="24" customHeight="1" hidden="1">
      <c r="A274" s="76"/>
      <c r="B274" s="107" t="s">
        <v>183</v>
      </c>
      <c r="C274" s="107" t="s">
        <v>79</v>
      </c>
      <c r="D274" s="107" t="s">
        <v>292</v>
      </c>
      <c r="E274" s="1" t="s">
        <v>86</v>
      </c>
      <c r="F274" s="80">
        <f t="shared" si="96"/>
        <v>0</v>
      </c>
      <c r="G274" s="103"/>
      <c r="H274" s="103"/>
      <c r="I274" s="103"/>
      <c r="J274" s="103"/>
      <c r="K274" s="103"/>
      <c r="L274" s="103"/>
      <c r="M274" s="103"/>
      <c r="N274" s="103"/>
      <c r="O274" s="80">
        <f>SUM(P274:R274)</f>
        <v>0</v>
      </c>
      <c r="P274" s="103"/>
      <c r="Q274" s="103"/>
      <c r="R274" s="103"/>
      <c r="S274" s="103"/>
      <c r="T274" s="103"/>
      <c r="U274" s="103"/>
      <c r="V274" s="103"/>
      <c r="W274" s="103"/>
      <c r="X274" s="103"/>
      <c r="Y274" s="103"/>
      <c r="Z274" s="103"/>
      <c r="AA274" s="103"/>
      <c r="AB274" s="103">
        <f t="shared" si="98"/>
        <v>0</v>
      </c>
      <c r="AC274" s="103">
        <f t="shared" si="106"/>
        <v>0</v>
      </c>
      <c r="AD274" s="103">
        <f t="shared" si="106"/>
        <v>0</v>
      </c>
      <c r="AE274" s="104">
        <f t="shared" si="99"/>
        <v>0</v>
      </c>
      <c r="AF274" s="38"/>
      <c r="AG274" s="38"/>
      <c r="AH274" s="38"/>
    </row>
    <row r="275" spans="1:34" s="39" customFormat="1" ht="45" customHeight="1" hidden="1">
      <c r="A275" s="76"/>
      <c r="B275" s="107" t="s">
        <v>184</v>
      </c>
      <c r="C275" s="107" t="s">
        <v>80</v>
      </c>
      <c r="D275" s="107" t="s">
        <v>292</v>
      </c>
      <c r="E275" s="1" t="s">
        <v>87</v>
      </c>
      <c r="F275" s="80">
        <f t="shared" si="96"/>
        <v>0</v>
      </c>
      <c r="G275" s="103"/>
      <c r="H275" s="103"/>
      <c r="I275" s="103"/>
      <c r="J275" s="103"/>
      <c r="K275" s="103"/>
      <c r="L275" s="103"/>
      <c r="M275" s="103"/>
      <c r="N275" s="103"/>
      <c r="O275" s="80">
        <f>SUM(P275:R275)</f>
        <v>0</v>
      </c>
      <c r="P275" s="103"/>
      <c r="Q275" s="103"/>
      <c r="R275" s="103"/>
      <c r="S275" s="103"/>
      <c r="T275" s="103"/>
      <c r="U275" s="103"/>
      <c r="V275" s="103"/>
      <c r="W275" s="103"/>
      <c r="X275" s="103"/>
      <c r="Y275" s="103"/>
      <c r="Z275" s="103"/>
      <c r="AA275" s="103"/>
      <c r="AB275" s="103">
        <f t="shared" si="98"/>
        <v>0</v>
      </c>
      <c r="AC275" s="103"/>
      <c r="AD275" s="103"/>
      <c r="AE275" s="104">
        <f t="shared" si="99"/>
        <v>0</v>
      </c>
      <c r="AF275" s="38"/>
      <c r="AG275" s="38"/>
      <c r="AH275" s="38"/>
    </row>
    <row r="276" spans="1:34" s="39" customFormat="1" ht="51" customHeight="1" hidden="1">
      <c r="A276" s="76" t="s">
        <v>308</v>
      </c>
      <c r="B276" s="101" t="s">
        <v>90</v>
      </c>
      <c r="C276" s="101" t="s">
        <v>406</v>
      </c>
      <c r="D276" s="101" t="s">
        <v>292</v>
      </c>
      <c r="E276" s="178" t="s">
        <v>89</v>
      </c>
      <c r="F276" s="80">
        <f t="shared" si="96"/>
        <v>0</v>
      </c>
      <c r="G276" s="103">
        <f>SUM(G277:G279)</f>
        <v>0</v>
      </c>
      <c r="H276" s="103">
        <f aca="true" t="shared" si="107" ref="H276:AD276">SUM(H277:H279)</f>
        <v>0</v>
      </c>
      <c r="I276" s="103">
        <f t="shared" si="107"/>
        <v>0</v>
      </c>
      <c r="J276" s="103">
        <f t="shared" si="107"/>
        <v>0</v>
      </c>
      <c r="K276" s="103">
        <f t="shared" si="107"/>
        <v>0</v>
      </c>
      <c r="L276" s="103">
        <f t="shared" si="107"/>
        <v>0</v>
      </c>
      <c r="M276" s="103">
        <f t="shared" si="107"/>
        <v>0</v>
      </c>
      <c r="N276" s="103">
        <f t="shared" si="107"/>
        <v>0</v>
      </c>
      <c r="O276" s="80">
        <f>SUM(P276:R276)</f>
        <v>0</v>
      </c>
      <c r="P276" s="103">
        <f t="shared" si="107"/>
        <v>0</v>
      </c>
      <c r="Q276" s="103">
        <f t="shared" si="107"/>
        <v>0</v>
      </c>
      <c r="R276" s="103">
        <f t="shared" si="107"/>
        <v>0</v>
      </c>
      <c r="S276" s="103">
        <f t="shared" si="107"/>
        <v>0</v>
      </c>
      <c r="T276" s="103">
        <f t="shared" si="107"/>
        <v>0</v>
      </c>
      <c r="U276" s="103">
        <f t="shared" si="107"/>
        <v>0</v>
      </c>
      <c r="V276" s="103">
        <f t="shared" si="107"/>
        <v>0</v>
      </c>
      <c r="W276" s="103">
        <f t="shared" si="107"/>
        <v>0</v>
      </c>
      <c r="X276" s="103">
        <f t="shared" si="107"/>
        <v>0</v>
      </c>
      <c r="Y276" s="103">
        <f t="shared" si="107"/>
        <v>0</v>
      </c>
      <c r="Z276" s="103">
        <f t="shared" si="107"/>
        <v>0</v>
      </c>
      <c r="AA276" s="103">
        <f t="shared" si="107"/>
        <v>0</v>
      </c>
      <c r="AB276" s="103">
        <f t="shared" si="98"/>
        <v>0</v>
      </c>
      <c r="AC276" s="103">
        <f t="shared" si="107"/>
        <v>0</v>
      </c>
      <c r="AD276" s="103">
        <f t="shared" si="107"/>
        <v>0</v>
      </c>
      <c r="AE276" s="104">
        <f t="shared" si="99"/>
        <v>0</v>
      </c>
      <c r="AF276" s="38"/>
      <c r="AG276" s="38"/>
      <c r="AH276" s="38"/>
    </row>
    <row r="277" spans="1:34" s="39" customFormat="1" ht="51" customHeight="1" hidden="1">
      <c r="A277" s="140"/>
      <c r="B277" s="107"/>
      <c r="C277" s="107"/>
      <c r="D277" s="107"/>
      <c r="E277" s="221" t="s">
        <v>403</v>
      </c>
      <c r="F277" s="80">
        <f t="shared" si="96"/>
        <v>0</v>
      </c>
      <c r="G277" s="103"/>
      <c r="H277" s="103"/>
      <c r="I277" s="103"/>
      <c r="J277" s="103"/>
      <c r="K277" s="103"/>
      <c r="L277" s="103"/>
      <c r="M277" s="209"/>
      <c r="N277" s="103"/>
      <c r="O277" s="80"/>
      <c r="P277" s="103"/>
      <c r="Q277" s="103"/>
      <c r="R277" s="103"/>
      <c r="S277" s="103"/>
      <c r="T277" s="103"/>
      <c r="U277" s="103"/>
      <c r="V277" s="103"/>
      <c r="W277" s="103"/>
      <c r="X277" s="103"/>
      <c r="Y277" s="103"/>
      <c r="Z277" s="103"/>
      <c r="AA277" s="103"/>
      <c r="AB277" s="103">
        <f t="shared" si="98"/>
        <v>0</v>
      </c>
      <c r="AC277" s="103"/>
      <c r="AD277" s="103"/>
      <c r="AE277" s="104">
        <f t="shared" si="99"/>
        <v>0</v>
      </c>
      <c r="AF277" s="222"/>
      <c r="AG277" s="222"/>
      <c r="AH277" s="222"/>
    </row>
    <row r="278" spans="1:34" s="39" customFormat="1" ht="51" customHeight="1" hidden="1">
      <c r="A278" s="140"/>
      <c r="B278" s="107"/>
      <c r="C278" s="107"/>
      <c r="D278" s="107"/>
      <c r="E278" s="221" t="s">
        <v>430</v>
      </c>
      <c r="F278" s="80">
        <f t="shared" si="96"/>
        <v>0</v>
      </c>
      <c r="G278" s="103"/>
      <c r="H278" s="103"/>
      <c r="I278" s="103"/>
      <c r="J278" s="103"/>
      <c r="K278" s="103"/>
      <c r="L278" s="103"/>
      <c r="M278" s="209"/>
      <c r="N278" s="103"/>
      <c r="O278" s="80">
        <f>SUM(P278:R278)</f>
        <v>0</v>
      </c>
      <c r="P278" s="103"/>
      <c r="Q278" s="103"/>
      <c r="R278" s="103"/>
      <c r="S278" s="103"/>
      <c r="T278" s="103"/>
      <c r="U278" s="103"/>
      <c r="V278" s="103"/>
      <c r="W278" s="103"/>
      <c r="X278" s="103"/>
      <c r="Y278" s="103"/>
      <c r="Z278" s="103"/>
      <c r="AA278" s="103"/>
      <c r="AB278" s="103">
        <f t="shared" si="98"/>
        <v>0</v>
      </c>
      <c r="AC278" s="103"/>
      <c r="AD278" s="103"/>
      <c r="AE278" s="104">
        <f t="shared" si="99"/>
        <v>0</v>
      </c>
      <c r="AF278" s="38"/>
      <c r="AG278" s="38"/>
      <c r="AH278" s="38"/>
    </row>
    <row r="279" spans="1:34" s="39" customFormat="1" ht="24" customHeight="1" hidden="1">
      <c r="A279" s="140"/>
      <c r="B279" s="107"/>
      <c r="C279" s="107"/>
      <c r="D279" s="107"/>
      <c r="E279" s="221" t="s">
        <v>405</v>
      </c>
      <c r="F279" s="80">
        <f t="shared" si="96"/>
        <v>0</v>
      </c>
      <c r="G279" s="103"/>
      <c r="H279" s="103"/>
      <c r="I279" s="103"/>
      <c r="J279" s="103"/>
      <c r="K279" s="103"/>
      <c r="L279" s="103"/>
      <c r="M279" s="209"/>
      <c r="N279" s="103"/>
      <c r="O279" s="80">
        <f>SUM(P279:R279)</f>
        <v>0</v>
      </c>
      <c r="P279" s="103"/>
      <c r="Q279" s="103"/>
      <c r="R279" s="103"/>
      <c r="S279" s="103"/>
      <c r="T279" s="103"/>
      <c r="U279" s="103"/>
      <c r="V279" s="103"/>
      <c r="W279" s="103"/>
      <c r="X279" s="103"/>
      <c r="Y279" s="103"/>
      <c r="Z279" s="103"/>
      <c r="AA279" s="103"/>
      <c r="AB279" s="103">
        <f t="shared" si="98"/>
        <v>0</v>
      </c>
      <c r="AC279" s="103"/>
      <c r="AD279" s="103"/>
      <c r="AE279" s="104">
        <f t="shared" si="99"/>
        <v>0</v>
      </c>
      <c r="AF279" s="38"/>
      <c r="AG279" s="38"/>
      <c r="AH279" s="38"/>
    </row>
    <row r="280" spans="1:34" s="39" customFormat="1" ht="29.25" customHeight="1">
      <c r="A280" s="76" t="s">
        <v>302</v>
      </c>
      <c r="B280" s="101" t="s">
        <v>91</v>
      </c>
      <c r="C280" s="101" t="s">
        <v>407</v>
      </c>
      <c r="D280" s="101" t="s">
        <v>292</v>
      </c>
      <c r="E280" s="102" t="s">
        <v>92</v>
      </c>
      <c r="F280" s="80">
        <f t="shared" si="96"/>
        <v>0</v>
      </c>
      <c r="G280" s="103">
        <f aca="true" t="shared" si="108" ref="G280:N280">SUM(G281:G289)</f>
        <v>0</v>
      </c>
      <c r="H280" s="103">
        <f t="shared" si="108"/>
        <v>0</v>
      </c>
      <c r="I280" s="103">
        <f t="shared" si="108"/>
        <v>0</v>
      </c>
      <c r="J280" s="103">
        <f t="shared" si="108"/>
        <v>0</v>
      </c>
      <c r="K280" s="103">
        <f t="shared" si="108"/>
        <v>0</v>
      </c>
      <c r="L280" s="103">
        <f t="shared" si="108"/>
        <v>-810827</v>
      </c>
      <c r="M280" s="103">
        <f t="shared" si="108"/>
        <v>0</v>
      </c>
      <c r="N280" s="103">
        <f t="shared" si="108"/>
        <v>0</v>
      </c>
      <c r="O280" s="80">
        <f>SUM(P280:R280)</f>
        <v>0</v>
      </c>
      <c r="P280" s="103">
        <f aca="true" t="shared" si="109" ref="P280:AA280">SUM(P281:P289)</f>
        <v>0</v>
      </c>
      <c r="Q280" s="103">
        <f t="shared" si="109"/>
        <v>0</v>
      </c>
      <c r="R280" s="103">
        <f t="shared" si="109"/>
        <v>0</v>
      </c>
      <c r="S280" s="103">
        <f t="shared" si="109"/>
        <v>0</v>
      </c>
      <c r="T280" s="103">
        <f t="shared" si="109"/>
        <v>0</v>
      </c>
      <c r="U280" s="103">
        <f t="shared" si="109"/>
        <v>0</v>
      </c>
      <c r="V280" s="103">
        <f>SUM(V281:V289)</f>
        <v>-29101</v>
      </c>
      <c r="W280" s="103">
        <f t="shared" si="109"/>
        <v>0</v>
      </c>
      <c r="X280" s="103">
        <f t="shared" si="109"/>
        <v>0</v>
      </c>
      <c r="Y280" s="103">
        <f t="shared" si="109"/>
        <v>0</v>
      </c>
      <c r="Z280" s="103">
        <f t="shared" si="109"/>
        <v>0</v>
      </c>
      <c r="AA280" s="103">
        <f t="shared" si="109"/>
        <v>0</v>
      </c>
      <c r="AB280" s="103">
        <f>SUM(G280:AA280)-O280</f>
        <v>-839928</v>
      </c>
      <c r="AC280" s="103">
        <f>SUM(AC281:AC289)</f>
        <v>0</v>
      </c>
      <c r="AD280" s="103">
        <f>SUM(AD281:AD289)</f>
        <v>0</v>
      </c>
      <c r="AE280" s="104">
        <f>SUM(AB280:AD280)</f>
        <v>-839928</v>
      </c>
      <c r="AF280" s="38"/>
      <c r="AG280" s="38"/>
      <c r="AH280" s="38"/>
    </row>
    <row r="281" spans="1:36" s="39" customFormat="1" ht="60" customHeight="1">
      <c r="A281" s="140"/>
      <c r="B281" s="107"/>
      <c r="C281" s="107"/>
      <c r="D281" s="107"/>
      <c r="E281" s="1" t="s">
        <v>232</v>
      </c>
      <c r="F281" s="80">
        <f t="shared" si="96"/>
        <v>0</v>
      </c>
      <c r="G281" s="103"/>
      <c r="H281" s="103"/>
      <c r="I281" s="103"/>
      <c r="J281" s="103"/>
      <c r="K281" s="103"/>
      <c r="L281" s="103">
        <f>29173-840000</f>
        <v>-810827</v>
      </c>
      <c r="M281" s="209"/>
      <c r="N281" s="103"/>
      <c r="O281" s="80"/>
      <c r="P281" s="103"/>
      <c r="Q281" s="103"/>
      <c r="R281" s="103"/>
      <c r="S281" s="103"/>
      <c r="T281" s="103"/>
      <c r="U281" s="103"/>
      <c r="V281" s="103">
        <f>-29173</f>
        <v>-29173</v>
      </c>
      <c r="W281" s="103"/>
      <c r="X281" s="103"/>
      <c r="Y281" s="103"/>
      <c r="Z281" s="103"/>
      <c r="AA281" s="103"/>
      <c r="AB281" s="103">
        <f>SUM(G281:AA281)-O281</f>
        <v>-840000</v>
      </c>
      <c r="AC281" s="103"/>
      <c r="AD281" s="103"/>
      <c r="AE281" s="104">
        <f>SUM(AB281:AD281)</f>
        <v>-840000</v>
      </c>
      <c r="AF281" s="223"/>
      <c r="AG281" s="223"/>
      <c r="AH281" s="223"/>
      <c r="AI281" s="224"/>
      <c r="AJ281" s="224"/>
    </row>
    <row r="282" spans="1:34" s="39" customFormat="1" ht="69.75" customHeight="1" hidden="1">
      <c r="A282" s="76"/>
      <c r="B282" s="101"/>
      <c r="C282" s="101"/>
      <c r="D282" s="101"/>
      <c r="E282" s="1" t="s">
        <v>224</v>
      </c>
      <c r="F282" s="80">
        <f t="shared" si="96"/>
        <v>0</v>
      </c>
      <c r="G282" s="103"/>
      <c r="H282" s="103"/>
      <c r="I282" s="103"/>
      <c r="J282" s="103"/>
      <c r="K282" s="103"/>
      <c r="L282" s="103"/>
      <c r="M282" s="209"/>
      <c r="N282" s="103"/>
      <c r="O282" s="80"/>
      <c r="P282" s="103"/>
      <c r="Q282" s="103"/>
      <c r="R282" s="103"/>
      <c r="S282" s="103"/>
      <c r="T282" s="103"/>
      <c r="U282" s="103"/>
      <c r="V282" s="103"/>
      <c r="W282" s="103"/>
      <c r="X282" s="103"/>
      <c r="Y282" s="103"/>
      <c r="Z282" s="103"/>
      <c r="AA282" s="103"/>
      <c r="AB282" s="103">
        <f t="shared" si="98"/>
        <v>0</v>
      </c>
      <c r="AC282" s="103"/>
      <c r="AD282" s="103"/>
      <c r="AE282" s="104">
        <f t="shared" si="99"/>
        <v>0</v>
      </c>
      <c r="AF282" s="138"/>
      <c r="AG282" s="138"/>
      <c r="AH282" s="138"/>
    </row>
    <row r="283" spans="1:34" s="39" customFormat="1" ht="69.75" customHeight="1" hidden="1">
      <c r="A283" s="140"/>
      <c r="B283" s="107"/>
      <c r="C283" s="107"/>
      <c r="D283" s="107"/>
      <c r="E283" s="108" t="s">
        <v>428</v>
      </c>
      <c r="F283" s="80">
        <f t="shared" si="96"/>
        <v>0</v>
      </c>
      <c r="G283" s="103"/>
      <c r="H283" s="103"/>
      <c r="I283" s="103"/>
      <c r="J283" s="103"/>
      <c r="K283" s="103"/>
      <c r="L283" s="103"/>
      <c r="M283" s="209"/>
      <c r="N283" s="103"/>
      <c r="O283" s="80"/>
      <c r="P283" s="103"/>
      <c r="Q283" s="103"/>
      <c r="R283" s="103"/>
      <c r="S283" s="103"/>
      <c r="T283" s="103"/>
      <c r="U283" s="103"/>
      <c r="V283" s="103"/>
      <c r="W283" s="103"/>
      <c r="X283" s="103"/>
      <c r="Y283" s="103"/>
      <c r="Z283" s="103"/>
      <c r="AA283" s="103"/>
      <c r="AB283" s="103">
        <f t="shared" si="98"/>
        <v>0</v>
      </c>
      <c r="AC283" s="103"/>
      <c r="AD283" s="103"/>
      <c r="AE283" s="104">
        <f t="shared" si="99"/>
        <v>0</v>
      </c>
      <c r="AF283" s="38"/>
      <c r="AG283" s="38"/>
      <c r="AH283" s="38"/>
    </row>
    <row r="284" spans="1:34" s="39" customFormat="1" ht="69.75" customHeight="1">
      <c r="A284" s="140"/>
      <c r="B284" s="107"/>
      <c r="C284" s="107"/>
      <c r="D284" s="107"/>
      <c r="E284" s="108" t="s">
        <v>694</v>
      </c>
      <c r="F284" s="80">
        <f t="shared" si="96"/>
        <v>0</v>
      </c>
      <c r="G284" s="103"/>
      <c r="H284" s="103"/>
      <c r="I284" s="103"/>
      <c r="J284" s="103"/>
      <c r="K284" s="103"/>
      <c r="L284" s="103"/>
      <c r="M284" s="209"/>
      <c r="N284" s="103"/>
      <c r="O284" s="80"/>
      <c r="P284" s="103"/>
      <c r="Q284" s="103"/>
      <c r="R284" s="103"/>
      <c r="S284" s="103"/>
      <c r="T284" s="103"/>
      <c r="U284" s="103"/>
      <c r="V284" s="103">
        <f>7000</f>
        <v>7000</v>
      </c>
      <c r="W284" s="103"/>
      <c r="X284" s="103"/>
      <c r="Y284" s="103"/>
      <c r="Z284" s="103"/>
      <c r="AA284" s="103"/>
      <c r="AB284" s="103">
        <f t="shared" si="98"/>
        <v>7000</v>
      </c>
      <c r="AC284" s="103"/>
      <c r="AD284" s="103"/>
      <c r="AE284" s="104">
        <f t="shared" si="99"/>
        <v>7000</v>
      </c>
      <c r="AF284" s="138"/>
      <c r="AG284" s="138"/>
      <c r="AH284" s="138"/>
    </row>
    <row r="285" spans="1:34" s="39" customFormat="1" ht="60.75" customHeight="1" hidden="1">
      <c r="A285" s="140"/>
      <c r="B285" s="107"/>
      <c r="C285" s="107"/>
      <c r="D285" s="107"/>
      <c r="E285" s="108" t="s">
        <v>209</v>
      </c>
      <c r="F285" s="80">
        <f t="shared" si="96"/>
        <v>0</v>
      </c>
      <c r="G285" s="103"/>
      <c r="H285" s="103"/>
      <c r="I285" s="103"/>
      <c r="J285" s="103"/>
      <c r="K285" s="103"/>
      <c r="L285" s="103"/>
      <c r="M285" s="209"/>
      <c r="N285" s="103"/>
      <c r="O285" s="80"/>
      <c r="P285" s="103"/>
      <c r="Q285" s="103"/>
      <c r="R285" s="103"/>
      <c r="S285" s="103"/>
      <c r="T285" s="103"/>
      <c r="U285" s="103"/>
      <c r="V285" s="103"/>
      <c r="W285" s="103"/>
      <c r="X285" s="103"/>
      <c r="Y285" s="103"/>
      <c r="Z285" s="103"/>
      <c r="AA285" s="103"/>
      <c r="AB285" s="103">
        <f t="shared" si="98"/>
        <v>0</v>
      </c>
      <c r="AC285" s="103"/>
      <c r="AD285" s="103"/>
      <c r="AE285" s="104">
        <f t="shared" si="99"/>
        <v>0</v>
      </c>
      <c r="AF285" s="123"/>
      <c r="AG285" s="123"/>
      <c r="AH285" s="123"/>
    </row>
    <row r="286" spans="1:34" s="39" customFormat="1" ht="42" customHeight="1" hidden="1">
      <c r="A286" s="140"/>
      <c r="B286" s="107"/>
      <c r="C286" s="107"/>
      <c r="D286" s="107"/>
      <c r="E286" s="108" t="s">
        <v>480</v>
      </c>
      <c r="F286" s="80">
        <f t="shared" si="96"/>
        <v>0</v>
      </c>
      <c r="G286" s="103"/>
      <c r="H286" s="103"/>
      <c r="I286" s="103"/>
      <c r="J286" s="103"/>
      <c r="K286" s="103"/>
      <c r="L286" s="103"/>
      <c r="M286" s="209"/>
      <c r="N286" s="103"/>
      <c r="O286" s="80"/>
      <c r="P286" s="103"/>
      <c r="Q286" s="103"/>
      <c r="R286" s="103"/>
      <c r="S286" s="103"/>
      <c r="T286" s="103"/>
      <c r="U286" s="103"/>
      <c r="V286" s="103"/>
      <c r="W286" s="103"/>
      <c r="X286" s="103"/>
      <c r="Y286" s="103"/>
      <c r="Z286" s="103"/>
      <c r="AA286" s="103"/>
      <c r="AB286" s="103">
        <f t="shared" si="98"/>
        <v>0</v>
      </c>
      <c r="AC286" s="103"/>
      <c r="AD286" s="103"/>
      <c r="AE286" s="104">
        <f t="shared" si="99"/>
        <v>0</v>
      </c>
      <c r="AF286" s="208"/>
      <c r="AG286" s="208"/>
      <c r="AH286" s="208"/>
    </row>
    <row r="287" spans="1:34" s="39" customFormat="1" ht="78" customHeight="1">
      <c r="A287" s="140"/>
      <c r="B287" s="107"/>
      <c r="C287" s="107"/>
      <c r="D287" s="107"/>
      <c r="E287" s="108" t="s">
        <v>696</v>
      </c>
      <c r="F287" s="80">
        <f t="shared" si="96"/>
        <v>0</v>
      </c>
      <c r="G287" s="103"/>
      <c r="H287" s="103"/>
      <c r="I287" s="103"/>
      <c r="J287" s="103"/>
      <c r="K287" s="103"/>
      <c r="L287" s="103"/>
      <c r="M287" s="209"/>
      <c r="N287" s="103"/>
      <c r="O287" s="80"/>
      <c r="P287" s="103"/>
      <c r="Q287" s="103"/>
      <c r="R287" s="103"/>
      <c r="S287" s="103"/>
      <c r="T287" s="103"/>
      <c r="U287" s="103"/>
      <c r="V287" s="103">
        <v>-6928</v>
      </c>
      <c r="W287" s="103"/>
      <c r="X287" s="103"/>
      <c r="Y287" s="103"/>
      <c r="Z287" s="103"/>
      <c r="AA287" s="103"/>
      <c r="AB287" s="103">
        <f t="shared" si="98"/>
        <v>-6928</v>
      </c>
      <c r="AC287" s="103"/>
      <c r="AD287" s="103"/>
      <c r="AE287" s="104">
        <f t="shared" si="99"/>
        <v>-6928</v>
      </c>
      <c r="AF287" s="208"/>
      <c r="AG287" s="208"/>
      <c r="AH287" s="208"/>
    </row>
    <row r="288" spans="1:34" s="39" customFormat="1" ht="75.75" customHeight="1" hidden="1">
      <c r="A288" s="140"/>
      <c r="B288" s="107"/>
      <c r="C288" s="107"/>
      <c r="D288" s="107"/>
      <c r="E288" s="108" t="s">
        <v>651</v>
      </c>
      <c r="F288" s="80"/>
      <c r="G288" s="103"/>
      <c r="H288" s="103"/>
      <c r="I288" s="103"/>
      <c r="J288" s="103"/>
      <c r="K288" s="103"/>
      <c r="L288" s="103"/>
      <c r="M288" s="209"/>
      <c r="N288" s="103"/>
      <c r="O288" s="80"/>
      <c r="P288" s="103"/>
      <c r="Q288" s="103"/>
      <c r="R288" s="103"/>
      <c r="S288" s="103"/>
      <c r="T288" s="103"/>
      <c r="U288" s="103"/>
      <c r="V288" s="103"/>
      <c r="W288" s="103"/>
      <c r="X288" s="103"/>
      <c r="Y288" s="103"/>
      <c r="Z288" s="103"/>
      <c r="AA288" s="103"/>
      <c r="AB288" s="103">
        <f>SUM(G288:AA288)-O288</f>
        <v>0</v>
      </c>
      <c r="AC288" s="103"/>
      <c r="AD288" s="103"/>
      <c r="AE288" s="104">
        <f>SUM(AB288:AD288)</f>
        <v>0</v>
      </c>
      <c r="AF288" s="208"/>
      <c r="AG288" s="208"/>
      <c r="AH288" s="208"/>
    </row>
    <row r="289" spans="1:34" s="39" customFormat="1" ht="42" customHeight="1" hidden="1">
      <c r="A289" s="140"/>
      <c r="B289" s="107"/>
      <c r="C289" s="107"/>
      <c r="D289" s="107"/>
      <c r="E289" s="108" t="s">
        <v>409</v>
      </c>
      <c r="F289" s="80">
        <f t="shared" si="96"/>
        <v>0</v>
      </c>
      <c r="G289" s="103"/>
      <c r="H289" s="103"/>
      <c r="I289" s="103"/>
      <c r="J289" s="103"/>
      <c r="K289" s="103"/>
      <c r="L289" s="103"/>
      <c r="M289" s="209"/>
      <c r="N289" s="103"/>
      <c r="O289" s="80">
        <f>SUM(P289:R289)</f>
        <v>0</v>
      </c>
      <c r="P289" s="103"/>
      <c r="Q289" s="103"/>
      <c r="R289" s="103"/>
      <c r="S289" s="103"/>
      <c r="T289" s="103"/>
      <c r="U289" s="103"/>
      <c r="V289" s="103"/>
      <c r="W289" s="103"/>
      <c r="X289" s="103"/>
      <c r="Y289" s="103"/>
      <c r="Z289" s="103"/>
      <c r="AA289" s="103"/>
      <c r="AB289" s="103">
        <f t="shared" si="98"/>
        <v>0</v>
      </c>
      <c r="AC289" s="103"/>
      <c r="AD289" s="103"/>
      <c r="AE289" s="104">
        <f t="shared" si="99"/>
        <v>0</v>
      </c>
      <c r="AF289" s="208"/>
      <c r="AG289" s="208"/>
      <c r="AH289" s="208"/>
    </row>
    <row r="290" spans="1:34" s="39" customFormat="1" ht="30" customHeight="1" hidden="1">
      <c r="A290" s="76" t="s">
        <v>241</v>
      </c>
      <c r="B290" s="101" t="s">
        <v>114</v>
      </c>
      <c r="C290" s="101" t="s">
        <v>116</v>
      </c>
      <c r="D290" s="101" t="s">
        <v>292</v>
      </c>
      <c r="E290" s="102" t="s">
        <v>115</v>
      </c>
      <c r="F290" s="80">
        <f t="shared" si="96"/>
        <v>0</v>
      </c>
      <c r="G290" s="103">
        <f>G291</f>
        <v>0</v>
      </c>
      <c r="H290" s="103">
        <f aca="true" t="shared" si="110" ref="H290:AA290">H291</f>
        <v>0</v>
      </c>
      <c r="I290" s="103">
        <f t="shared" si="110"/>
        <v>0</v>
      </c>
      <c r="J290" s="103">
        <f t="shared" si="110"/>
        <v>0</v>
      </c>
      <c r="K290" s="103">
        <f t="shared" si="110"/>
        <v>0</v>
      </c>
      <c r="L290" s="103">
        <f t="shared" si="110"/>
        <v>0</v>
      </c>
      <c r="M290" s="103">
        <f t="shared" si="110"/>
        <v>0</v>
      </c>
      <c r="N290" s="103">
        <f t="shared" si="110"/>
        <v>0</v>
      </c>
      <c r="O290" s="80">
        <f>SUM(P290:R290)</f>
        <v>0</v>
      </c>
      <c r="P290" s="103">
        <f t="shared" si="110"/>
        <v>0</v>
      </c>
      <c r="Q290" s="103">
        <f t="shared" si="110"/>
        <v>0</v>
      </c>
      <c r="R290" s="103">
        <f t="shared" si="110"/>
        <v>0</v>
      </c>
      <c r="S290" s="103">
        <f t="shared" si="110"/>
        <v>0</v>
      </c>
      <c r="T290" s="103">
        <f t="shared" si="110"/>
        <v>0</v>
      </c>
      <c r="U290" s="103">
        <f t="shared" si="110"/>
        <v>0</v>
      </c>
      <c r="V290" s="103">
        <f t="shared" si="110"/>
        <v>0</v>
      </c>
      <c r="W290" s="103">
        <f t="shared" si="110"/>
        <v>0</v>
      </c>
      <c r="X290" s="103">
        <f t="shared" si="110"/>
        <v>0</v>
      </c>
      <c r="Y290" s="103">
        <f t="shared" si="110"/>
        <v>0</v>
      </c>
      <c r="Z290" s="103">
        <f t="shared" si="110"/>
        <v>0</v>
      </c>
      <c r="AA290" s="103">
        <f t="shared" si="110"/>
        <v>0</v>
      </c>
      <c r="AB290" s="103">
        <f t="shared" si="98"/>
        <v>0</v>
      </c>
      <c r="AC290" s="103"/>
      <c r="AD290" s="103"/>
      <c r="AE290" s="104">
        <f t="shared" si="99"/>
        <v>0</v>
      </c>
      <c r="AF290" s="38"/>
      <c r="AG290" s="38"/>
      <c r="AH290" s="38"/>
    </row>
    <row r="291" spans="1:34" s="214" customFormat="1" ht="56.25" customHeight="1" hidden="1">
      <c r="A291" s="140"/>
      <c r="B291" s="107"/>
      <c r="C291" s="107"/>
      <c r="D291" s="107"/>
      <c r="E291" s="108" t="s">
        <v>619</v>
      </c>
      <c r="F291" s="80">
        <f t="shared" si="96"/>
        <v>0</v>
      </c>
      <c r="G291" s="175"/>
      <c r="H291" s="175"/>
      <c r="I291" s="175"/>
      <c r="J291" s="175"/>
      <c r="K291" s="175"/>
      <c r="L291" s="175"/>
      <c r="M291" s="225"/>
      <c r="N291" s="175"/>
      <c r="O291" s="226">
        <f>SUM(P291:R291)</f>
        <v>0</v>
      </c>
      <c r="P291" s="175"/>
      <c r="Q291" s="175"/>
      <c r="R291" s="175"/>
      <c r="S291" s="175"/>
      <c r="T291" s="175"/>
      <c r="U291" s="175"/>
      <c r="V291" s="172"/>
      <c r="W291" s="175"/>
      <c r="X291" s="175"/>
      <c r="Y291" s="175"/>
      <c r="Z291" s="175"/>
      <c r="AA291" s="175"/>
      <c r="AB291" s="172">
        <f t="shared" si="98"/>
        <v>0</v>
      </c>
      <c r="AC291" s="172"/>
      <c r="AD291" s="172"/>
      <c r="AE291" s="187">
        <f t="shared" si="99"/>
        <v>0</v>
      </c>
      <c r="AF291" s="216"/>
      <c r="AG291" s="216"/>
      <c r="AH291" s="216"/>
    </row>
    <row r="292" spans="1:34" s="39" customFormat="1" ht="36" customHeight="1" hidden="1">
      <c r="A292" s="76"/>
      <c r="B292" s="101" t="s">
        <v>118</v>
      </c>
      <c r="C292" s="101" t="s">
        <v>119</v>
      </c>
      <c r="D292" s="101" t="s">
        <v>427</v>
      </c>
      <c r="E292" s="102" t="s">
        <v>117</v>
      </c>
      <c r="F292" s="80">
        <f t="shared" si="96"/>
        <v>0</v>
      </c>
      <c r="G292" s="103">
        <f>G293</f>
        <v>0</v>
      </c>
      <c r="H292" s="103">
        <f aca="true" t="shared" si="111" ref="H292:AA292">H293</f>
        <v>0</v>
      </c>
      <c r="I292" s="103">
        <f t="shared" si="111"/>
        <v>0</v>
      </c>
      <c r="J292" s="103">
        <f t="shared" si="111"/>
        <v>0</v>
      </c>
      <c r="K292" s="103">
        <f t="shared" si="111"/>
        <v>0</v>
      </c>
      <c r="L292" s="103">
        <f t="shared" si="111"/>
        <v>0</v>
      </c>
      <c r="M292" s="103">
        <f t="shared" si="111"/>
        <v>0</v>
      </c>
      <c r="N292" s="103">
        <f t="shared" si="111"/>
        <v>0</v>
      </c>
      <c r="O292" s="80">
        <f>SUM(P292:R292)</f>
        <v>0</v>
      </c>
      <c r="P292" s="103">
        <f t="shared" si="111"/>
        <v>0</v>
      </c>
      <c r="Q292" s="103">
        <f t="shared" si="111"/>
        <v>0</v>
      </c>
      <c r="R292" s="103">
        <f t="shared" si="111"/>
        <v>0</v>
      </c>
      <c r="S292" s="103">
        <f t="shared" si="111"/>
        <v>0</v>
      </c>
      <c r="T292" s="103">
        <f t="shared" si="111"/>
        <v>0</v>
      </c>
      <c r="U292" s="103">
        <f t="shared" si="111"/>
        <v>0</v>
      </c>
      <c r="V292" s="103">
        <f>V293</f>
        <v>0</v>
      </c>
      <c r="W292" s="103">
        <f t="shared" si="111"/>
        <v>0</v>
      </c>
      <c r="X292" s="103">
        <f t="shared" si="111"/>
        <v>0</v>
      </c>
      <c r="Y292" s="103">
        <f t="shared" si="111"/>
        <v>0</v>
      </c>
      <c r="Z292" s="103">
        <f t="shared" si="111"/>
        <v>0</v>
      </c>
      <c r="AA292" s="103">
        <f t="shared" si="111"/>
        <v>0</v>
      </c>
      <c r="AB292" s="103">
        <f t="shared" si="98"/>
        <v>0</v>
      </c>
      <c r="AC292" s="103"/>
      <c r="AD292" s="103"/>
      <c r="AE292" s="104">
        <f t="shared" si="99"/>
        <v>0</v>
      </c>
      <c r="AF292" s="38"/>
      <c r="AG292" s="38"/>
      <c r="AH292" s="38"/>
    </row>
    <row r="293" spans="1:34" s="214" customFormat="1" ht="59.25" customHeight="1" hidden="1">
      <c r="A293" s="140"/>
      <c r="B293" s="107"/>
      <c r="C293" s="107"/>
      <c r="D293" s="107"/>
      <c r="E293" s="108" t="s">
        <v>420</v>
      </c>
      <c r="F293" s="80">
        <f t="shared" si="96"/>
        <v>0</v>
      </c>
      <c r="G293" s="175"/>
      <c r="H293" s="175"/>
      <c r="I293" s="175"/>
      <c r="J293" s="175"/>
      <c r="K293" s="175"/>
      <c r="L293" s="175"/>
      <c r="M293" s="225"/>
      <c r="N293" s="175"/>
      <c r="O293" s="226">
        <f>SUM(P293:R293)</f>
        <v>0</v>
      </c>
      <c r="P293" s="175"/>
      <c r="Q293" s="175"/>
      <c r="R293" s="175"/>
      <c r="S293" s="175"/>
      <c r="T293" s="175"/>
      <c r="U293" s="175"/>
      <c r="V293" s="172"/>
      <c r="W293" s="175"/>
      <c r="X293" s="175"/>
      <c r="Y293" s="175"/>
      <c r="Z293" s="172"/>
      <c r="AA293" s="172"/>
      <c r="AB293" s="172">
        <f t="shared" si="98"/>
        <v>0</v>
      </c>
      <c r="AC293" s="172"/>
      <c r="AD293" s="172"/>
      <c r="AE293" s="187">
        <f t="shared" si="99"/>
        <v>0</v>
      </c>
      <c r="AF293" s="133"/>
      <c r="AG293" s="133"/>
      <c r="AH293" s="133"/>
    </row>
    <row r="294" spans="1:34" s="189" customFormat="1" ht="77.25" customHeight="1" hidden="1">
      <c r="A294" s="76"/>
      <c r="B294" s="101" t="s">
        <v>487</v>
      </c>
      <c r="C294" s="101" t="s">
        <v>481</v>
      </c>
      <c r="D294" s="101" t="s">
        <v>295</v>
      </c>
      <c r="E294" s="102" t="s">
        <v>482</v>
      </c>
      <c r="F294" s="80">
        <f t="shared" si="96"/>
        <v>0</v>
      </c>
      <c r="G294" s="172">
        <f>G295</f>
        <v>0</v>
      </c>
      <c r="H294" s="172">
        <f aca="true" t="shared" si="112" ref="H294:AA294">H295</f>
        <v>0</v>
      </c>
      <c r="I294" s="172">
        <f t="shared" si="112"/>
        <v>0</v>
      </c>
      <c r="J294" s="172">
        <f t="shared" si="112"/>
        <v>0</v>
      </c>
      <c r="K294" s="172">
        <f t="shared" si="112"/>
        <v>0</v>
      </c>
      <c r="L294" s="172">
        <f t="shared" si="112"/>
        <v>0</v>
      </c>
      <c r="M294" s="172">
        <f t="shared" si="112"/>
        <v>0</v>
      </c>
      <c r="N294" s="172">
        <f t="shared" si="112"/>
        <v>0</v>
      </c>
      <c r="O294" s="193">
        <f t="shared" si="112"/>
        <v>0</v>
      </c>
      <c r="P294" s="172">
        <f t="shared" si="112"/>
        <v>0</v>
      </c>
      <c r="Q294" s="172">
        <f t="shared" si="112"/>
        <v>0</v>
      </c>
      <c r="R294" s="172">
        <f t="shared" si="112"/>
        <v>0</v>
      </c>
      <c r="S294" s="172">
        <f t="shared" si="112"/>
        <v>0</v>
      </c>
      <c r="T294" s="172">
        <f t="shared" si="112"/>
        <v>0</v>
      </c>
      <c r="U294" s="172">
        <f t="shared" si="112"/>
        <v>0</v>
      </c>
      <c r="V294" s="172">
        <f t="shared" si="112"/>
        <v>0</v>
      </c>
      <c r="W294" s="172">
        <f t="shared" si="112"/>
        <v>0</v>
      </c>
      <c r="X294" s="172">
        <f t="shared" si="112"/>
        <v>0</v>
      </c>
      <c r="Y294" s="172">
        <f t="shared" si="112"/>
        <v>0</v>
      </c>
      <c r="Z294" s="172">
        <f t="shared" si="112"/>
        <v>0</v>
      </c>
      <c r="AA294" s="172">
        <f t="shared" si="112"/>
        <v>0</v>
      </c>
      <c r="AB294" s="172">
        <f t="shared" si="98"/>
        <v>0</v>
      </c>
      <c r="AC294" s="172"/>
      <c r="AD294" s="172"/>
      <c r="AE294" s="187">
        <f t="shared" si="99"/>
        <v>0</v>
      </c>
      <c r="AF294" s="194"/>
      <c r="AG294" s="194"/>
      <c r="AH294" s="194"/>
    </row>
    <row r="295" spans="1:34" s="39" customFormat="1" ht="65.25" customHeight="1" hidden="1">
      <c r="A295" s="76"/>
      <c r="B295" s="101"/>
      <c r="C295" s="101"/>
      <c r="D295" s="101"/>
      <c r="E295" s="108" t="s">
        <v>535</v>
      </c>
      <c r="F295" s="80">
        <f t="shared" si="96"/>
        <v>0</v>
      </c>
      <c r="G295" s="103"/>
      <c r="H295" s="103"/>
      <c r="I295" s="103"/>
      <c r="J295" s="103"/>
      <c r="K295" s="103"/>
      <c r="L295" s="103"/>
      <c r="M295" s="209"/>
      <c r="N295" s="103"/>
      <c r="O295" s="80"/>
      <c r="P295" s="103"/>
      <c r="Q295" s="103"/>
      <c r="R295" s="103"/>
      <c r="S295" s="103"/>
      <c r="T295" s="103"/>
      <c r="U295" s="103"/>
      <c r="V295" s="103"/>
      <c r="W295" s="103"/>
      <c r="X295" s="103"/>
      <c r="Y295" s="103"/>
      <c r="Z295" s="103"/>
      <c r="AA295" s="103"/>
      <c r="AB295" s="103">
        <f t="shared" si="98"/>
        <v>0</v>
      </c>
      <c r="AC295" s="103"/>
      <c r="AD295" s="103"/>
      <c r="AE295" s="104">
        <f t="shared" si="99"/>
        <v>0</v>
      </c>
      <c r="AF295" s="138"/>
      <c r="AG295" s="138"/>
      <c r="AH295" s="138"/>
    </row>
    <row r="296" spans="1:34" s="39" customFormat="1" ht="30.75" customHeight="1">
      <c r="A296" s="76"/>
      <c r="B296" s="101" t="s">
        <v>190</v>
      </c>
      <c r="C296" s="101" t="s">
        <v>191</v>
      </c>
      <c r="D296" s="101"/>
      <c r="E296" s="227" t="s">
        <v>194</v>
      </c>
      <c r="F296" s="80">
        <f t="shared" si="96"/>
        <v>0</v>
      </c>
      <c r="G296" s="103">
        <f>G297</f>
        <v>0</v>
      </c>
      <c r="H296" s="103">
        <f aca="true" t="shared" si="113" ref="H296:AA296">H297</f>
        <v>0</v>
      </c>
      <c r="I296" s="103">
        <f t="shared" si="113"/>
        <v>0</v>
      </c>
      <c r="J296" s="103">
        <f t="shared" si="113"/>
        <v>0</v>
      </c>
      <c r="K296" s="103">
        <f t="shared" si="113"/>
        <v>0</v>
      </c>
      <c r="L296" s="103">
        <f t="shared" si="113"/>
        <v>473906</v>
      </c>
      <c r="M296" s="103">
        <f t="shared" si="113"/>
        <v>0</v>
      </c>
      <c r="N296" s="103">
        <f t="shared" si="113"/>
        <v>0</v>
      </c>
      <c r="O296" s="80">
        <f t="shared" si="113"/>
        <v>0</v>
      </c>
      <c r="P296" s="103">
        <f t="shared" si="113"/>
        <v>0</v>
      </c>
      <c r="Q296" s="103">
        <f t="shared" si="113"/>
        <v>0</v>
      </c>
      <c r="R296" s="103">
        <f t="shared" si="113"/>
        <v>0</v>
      </c>
      <c r="S296" s="103">
        <f t="shared" si="113"/>
        <v>0</v>
      </c>
      <c r="T296" s="103">
        <f t="shared" si="113"/>
        <v>0</v>
      </c>
      <c r="U296" s="103">
        <f t="shared" si="113"/>
        <v>0</v>
      </c>
      <c r="V296" s="103">
        <f t="shared" si="113"/>
        <v>0</v>
      </c>
      <c r="W296" s="103">
        <f t="shared" si="113"/>
        <v>0</v>
      </c>
      <c r="X296" s="103">
        <f t="shared" si="113"/>
        <v>0</v>
      </c>
      <c r="Y296" s="103">
        <f t="shared" si="113"/>
        <v>0</v>
      </c>
      <c r="Z296" s="103">
        <f t="shared" si="113"/>
        <v>0</v>
      </c>
      <c r="AA296" s="103">
        <f t="shared" si="113"/>
        <v>0</v>
      </c>
      <c r="AB296" s="103">
        <f t="shared" si="98"/>
        <v>473906</v>
      </c>
      <c r="AC296" s="103"/>
      <c r="AD296" s="103"/>
      <c r="AE296" s="104">
        <f t="shared" si="99"/>
        <v>473906</v>
      </c>
      <c r="AF296" s="38"/>
      <c r="AG296" s="38"/>
      <c r="AH296" s="38"/>
    </row>
    <row r="297" spans="1:34" s="39" customFormat="1" ht="97.5" customHeight="1">
      <c r="A297" s="76"/>
      <c r="B297" s="107" t="s">
        <v>216</v>
      </c>
      <c r="C297" s="107" t="s">
        <v>217</v>
      </c>
      <c r="D297" s="107" t="s">
        <v>268</v>
      </c>
      <c r="E297" s="118" t="s">
        <v>746</v>
      </c>
      <c r="F297" s="80">
        <f t="shared" si="96"/>
        <v>0</v>
      </c>
      <c r="G297" s="103"/>
      <c r="H297" s="103"/>
      <c r="I297" s="103"/>
      <c r="J297" s="103"/>
      <c r="K297" s="103"/>
      <c r="L297" s="103">
        <v>473906</v>
      </c>
      <c r="M297" s="209"/>
      <c r="N297" s="103"/>
      <c r="O297" s="80"/>
      <c r="P297" s="103"/>
      <c r="Q297" s="103"/>
      <c r="R297" s="103"/>
      <c r="S297" s="103"/>
      <c r="T297" s="103"/>
      <c r="U297" s="103"/>
      <c r="V297" s="103"/>
      <c r="W297" s="103"/>
      <c r="X297" s="103"/>
      <c r="Y297" s="103"/>
      <c r="Z297" s="103"/>
      <c r="AA297" s="103"/>
      <c r="AB297" s="103">
        <f t="shared" si="98"/>
        <v>473906</v>
      </c>
      <c r="AC297" s="103"/>
      <c r="AD297" s="103"/>
      <c r="AE297" s="104">
        <f t="shared" si="99"/>
        <v>473906</v>
      </c>
      <c r="AF297" s="38"/>
      <c r="AG297" s="38"/>
      <c r="AH297" s="38"/>
    </row>
    <row r="298" spans="1:34" s="39" customFormat="1" ht="48" customHeight="1">
      <c r="A298" s="76"/>
      <c r="B298" s="101" t="s">
        <v>121</v>
      </c>
      <c r="C298" s="101" t="s">
        <v>122</v>
      </c>
      <c r="D298" s="101" t="s">
        <v>268</v>
      </c>
      <c r="E298" s="102" t="s">
        <v>120</v>
      </c>
      <c r="F298" s="80">
        <f t="shared" si="96"/>
        <v>0</v>
      </c>
      <c r="G298" s="103">
        <f>SUM(G299:G303)</f>
        <v>0</v>
      </c>
      <c r="H298" s="103">
        <f aca="true" t="shared" si="114" ref="H298:AA298">SUM(H299:H303)</f>
        <v>0</v>
      </c>
      <c r="I298" s="103">
        <f t="shared" si="114"/>
        <v>0</v>
      </c>
      <c r="J298" s="103">
        <f t="shared" si="114"/>
        <v>0</v>
      </c>
      <c r="K298" s="103">
        <f t="shared" si="114"/>
        <v>0</v>
      </c>
      <c r="L298" s="103">
        <f t="shared" si="114"/>
        <v>-17440</v>
      </c>
      <c r="M298" s="103">
        <f t="shared" si="114"/>
        <v>0</v>
      </c>
      <c r="N298" s="103">
        <f t="shared" si="114"/>
        <v>0</v>
      </c>
      <c r="O298" s="80">
        <f>SUM(P298:R298)</f>
        <v>0</v>
      </c>
      <c r="P298" s="103">
        <f t="shared" si="114"/>
        <v>0</v>
      </c>
      <c r="Q298" s="103">
        <f t="shared" si="114"/>
        <v>0</v>
      </c>
      <c r="R298" s="103">
        <f t="shared" si="114"/>
        <v>0</v>
      </c>
      <c r="S298" s="103">
        <f t="shared" si="114"/>
        <v>0</v>
      </c>
      <c r="T298" s="103">
        <f t="shared" si="114"/>
        <v>0</v>
      </c>
      <c r="U298" s="103">
        <f t="shared" si="114"/>
        <v>0</v>
      </c>
      <c r="V298" s="103">
        <f>SUM(V299:V303)</f>
        <v>0</v>
      </c>
      <c r="W298" s="103">
        <f t="shared" si="114"/>
        <v>0</v>
      </c>
      <c r="X298" s="103">
        <f t="shared" si="114"/>
        <v>0</v>
      </c>
      <c r="Y298" s="103">
        <f t="shared" si="114"/>
        <v>0</v>
      </c>
      <c r="Z298" s="103">
        <f t="shared" si="114"/>
        <v>0</v>
      </c>
      <c r="AA298" s="103">
        <f t="shared" si="114"/>
        <v>0</v>
      </c>
      <c r="AB298" s="103">
        <f t="shared" si="98"/>
        <v>-17440</v>
      </c>
      <c r="AC298" s="103"/>
      <c r="AD298" s="103"/>
      <c r="AE298" s="104">
        <f t="shared" si="99"/>
        <v>-17440</v>
      </c>
      <c r="AF298" s="38"/>
      <c r="AG298" s="38"/>
      <c r="AH298" s="38"/>
    </row>
    <row r="299" spans="1:34" s="39" customFormat="1" ht="52.5" customHeight="1">
      <c r="A299" s="76"/>
      <c r="B299" s="101"/>
      <c r="C299" s="101"/>
      <c r="D299" s="101"/>
      <c r="E299" s="228" t="s">
        <v>623</v>
      </c>
      <c r="F299" s="80">
        <f t="shared" si="96"/>
        <v>0</v>
      </c>
      <c r="G299" s="103"/>
      <c r="H299" s="103"/>
      <c r="I299" s="103"/>
      <c r="J299" s="103"/>
      <c r="K299" s="103"/>
      <c r="L299" s="103">
        <v>-3000</v>
      </c>
      <c r="M299" s="209"/>
      <c r="N299" s="103"/>
      <c r="O299" s="80">
        <f>SUM(P299:R299)</f>
        <v>0</v>
      </c>
      <c r="P299" s="103"/>
      <c r="Q299" s="103"/>
      <c r="R299" s="103"/>
      <c r="S299" s="103"/>
      <c r="T299" s="103"/>
      <c r="U299" s="103"/>
      <c r="V299" s="103"/>
      <c r="W299" s="103"/>
      <c r="X299" s="103"/>
      <c r="Y299" s="103"/>
      <c r="Z299" s="103"/>
      <c r="AA299" s="103"/>
      <c r="AB299" s="103">
        <f t="shared" si="98"/>
        <v>-3000</v>
      </c>
      <c r="AC299" s="103"/>
      <c r="AD299" s="103"/>
      <c r="AE299" s="104">
        <f t="shared" si="99"/>
        <v>-3000</v>
      </c>
      <c r="AF299" s="38"/>
      <c r="AG299" s="38"/>
      <c r="AH299" s="38"/>
    </row>
    <row r="300" spans="1:34" s="39" customFormat="1" ht="60" customHeight="1">
      <c r="A300" s="76"/>
      <c r="B300" s="101"/>
      <c r="C300" s="101"/>
      <c r="D300" s="101"/>
      <c r="E300" s="228" t="s">
        <v>661</v>
      </c>
      <c r="F300" s="80"/>
      <c r="G300" s="103"/>
      <c r="H300" s="103"/>
      <c r="I300" s="103"/>
      <c r="J300" s="103"/>
      <c r="K300" s="103"/>
      <c r="L300" s="103">
        <v>-14440</v>
      </c>
      <c r="M300" s="209"/>
      <c r="N300" s="103"/>
      <c r="O300" s="80"/>
      <c r="P300" s="103"/>
      <c r="Q300" s="103"/>
      <c r="R300" s="103"/>
      <c r="S300" s="103"/>
      <c r="T300" s="103"/>
      <c r="U300" s="103"/>
      <c r="V300" s="103"/>
      <c r="W300" s="103"/>
      <c r="X300" s="103"/>
      <c r="Y300" s="103"/>
      <c r="Z300" s="103"/>
      <c r="AA300" s="103"/>
      <c r="AB300" s="103">
        <f>SUM(G300:AA300)-O300</f>
        <v>-14440</v>
      </c>
      <c r="AC300" s="103"/>
      <c r="AD300" s="103"/>
      <c r="AE300" s="104">
        <f>SUM(AB300:AD300)</f>
        <v>-14440</v>
      </c>
      <c r="AF300" s="38"/>
      <c r="AG300" s="38"/>
      <c r="AH300" s="38"/>
    </row>
    <row r="301" spans="1:34" s="39" customFormat="1" ht="65.25" customHeight="1" hidden="1">
      <c r="A301" s="76"/>
      <c r="B301" s="101"/>
      <c r="C301" s="101"/>
      <c r="D301" s="101"/>
      <c r="E301" s="228" t="s">
        <v>403</v>
      </c>
      <c r="F301" s="80">
        <f t="shared" si="96"/>
        <v>0</v>
      </c>
      <c r="G301" s="103"/>
      <c r="H301" s="103"/>
      <c r="I301" s="103"/>
      <c r="J301" s="103"/>
      <c r="K301" s="103"/>
      <c r="L301" s="103"/>
      <c r="M301" s="209"/>
      <c r="N301" s="103"/>
      <c r="O301" s="80"/>
      <c r="P301" s="103"/>
      <c r="Q301" s="103"/>
      <c r="R301" s="103"/>
      <c r="S301" s="103"/>
      <c r="T301" s="103"/>
      <c r="U301" s="103"/>
      <c r="V301" s="103"/>
      <c r="W301" s="103"/>
      <c r="X301" s="103"/>
      <c r="Y301" s="103"/>
      <c r="Z301" s="103"/>
      <c r="AA301" s="103"/>
      <c r="AB301" s="103">
        <f t="shared" si="98"/>
        <v>0</v>
      </c>
      <c r="AC301" s="103"/>
      <c r="AD301" s="103"/>
      <c r="AE301" s="104">
        <f t="shared" si="99"/>
        <v>0</v>
      </c>
      <c r="AF301" s="138"/>
      <c r="AG301" s="138"/>
      <c r="AH301" s="138"/>
    </row>
    <row r="302" spans="1:34" s="39" customFormat="1" ht="65.25" customHeight="1" hidden="1">
      <c r="A302" s="76"/>
      <c r="B302" s="101"/>
      <c r="C302" s="101"/>
      <c r="D302" s="101"/>
      <c r="E302" s="228" t="s">
        <v>209</v>
      </c>
      <c r="F302" s="80"/>
      <c r="G302" s="103"/>
      <c r="H302" s="103"/>
      <c r="I302" s="103"/>
      <c r="J302" s="103"/>
      <c r="K302" s="103"/>
      <c r="L302" s="103"/>
      <c r="M302" s="209"/>
      <c r="N302" s="103"/>
      <c r="O302" s="80"/>
      <c r="P302" s="103"/>
      <c r="Q302" s="103"/>
      <c r="R302" s="103"/>
      <c r="S302" s="103"/>
      <c r="T302" s="103"/>
      <c r="U302" s="103"/>
      <c r="V302" s="103"/>
      <c r="W302" s="103"/>
      <c r="X302" s="103"/>
      <c r="Y302" s="103"/>
      <c r="Z302" s="103"/>
      <c r="AA302" s="103"/>
      <c r="AB302" s="103">
        <f>SUM(G302:AA302)-O302</f>
        <v>0</v>
      </c>
      <c r="AC302" s="103"/>
      <c r="AD302" s="103"/>
      <c r="AE302" s="104">
        <f>SUM(AB302:AD302)</f>
        <v>0</v>
      </c>
      <c r="AF302" s="138"/>
      <c r="AG302" s="138"/>
      <c r="AH302" s="138"/>
    </row>
    <row r="303" spans="1:34" s="39" customFormat="1" ht="66" customHeight="1" hidden="1">
      <c r="A303" s="76"/>
      <c r="B303" s="101"/>
      <c r="C303" s="101"/>
      <c r="D303" s="101"/>
      <c r="E303" s="228" t="s">
        <v>420</v>
      </c>
      <c r="F303" s="80">
        <f t="shared" si="96"/>
        <v>0</v>
      </c>
      <c r="G303" s="103"/>
      <c r="H303" s="103"/>
      <c r="I303" s="103"/>
      <c r="J303" s="103"/>
      <c r="K303" s="103"/>
      <c r="L303" s="103"/>
      <c r="M303" s="209"/>
      <c r="N303" s="103"/>
      <c r="O303" s="80">
        <f>SUM(P303:R303)</f>
        <v>0</v>
      </c>
      <c r="P303" s="103"/>
      <c r="Q303" s="103"/>
      <c r="R303" s="103"/>
      <c r="S303" s="103"/>
      <c r="T303" s="103"/>
      <c r="U303" s="103"/>
      <c r="V303" s="103"/>
      <c r="W303" s="103"/>
      <c r="X303" s="103"/>
      <c r="Y303" s="103"/>
      <c r="Z303" s="103"/>
      <c r="AA303" s="103"/>
      <c r="AB303" s="103">
        <f t="shared" si="98"/>
        <v>0</v>
      </c>
      <c r="AC303" s="103"/>
      <c r="AD303" s="103"/>
      <c r="AE303" s="104">
        <f t="shared" si="99"/>
        <v>0</v>
      </c>
      <c r="AF303" s="138"/>
      <c r="AG303" s="138"/>
      <c r="AH303" s="138"/>
    </row>
    <row r="304" spans="1:34" s="189" customFormat="1" ht="45.75" customHeight="1">
      <c r="A304" s="76" t="s">
        <v>305</v>
      </c>
      <c r="B304" s="101" t="s">
        <v>111</v>
      </c>
      <c r="C304" s="101" t="s">
        <v>112</v>
      </c>
      <c r="D304" s="101" t="s">
        <v>268</v>
      </c>
      <c r="E304" s="116" t="s">
        <v>113</v>
      </c>
      <c r="F304" s="80">
        <f t="shared" si="96"/>
        <v>0</v>
      </c>
      <c r="G304" s="172">
        <f aca="true" t="shared" si="115" ref="G304:N304">SUM(G305:G305)</f>
        <v>0</v>
      </c>
      <c r="H304" s="172">
        <f t="shared" si="115"/>
        <v>0</v>
      </c>
      <c r="I304" s="172">
        <f t="shared" si="115"/>
        <v>0</v>
      </c>
      <c r="J304" s="172">
        <f t="shared" si="115"/>
        <v>0</v>
      </c>
      <c r="K304" s="172">
        <f t="shared" si="115"/>
        <v>0</v>
      </c>
      <c r="L304" s="198">
        <f t="shared" si="115"/>
        <v>0</v>
      </c>
      <c r="M304" s="172">
        <f t="shared" si="115"/>
        <v>0</v>
      </c>
      <c r="N304" s="172">
        <f t="shared" si="115"/>
        <v>0</v>
      </c>
      <c r="O304" s="193">
        <f>SUM(P304:R304)</f>
        <v>0</v>
      </c>
      <c r="P304" s="172">
        <f aca="true" t="shared" si="116" ref="P304:AA304">SUM(P305:P305)</f>
        <v>0</v>
      </c>
      <c r="Q304" s="172">
        <f t="shared" si="116"/>
        <v>0</v>
      </c>
      <c r="R304" s="172">
        <f t="shared" si="116"/>
        <v>0</v>
      </c>
      <c r="S304" s="172">
        <f t="shared" si="116"/>
        <v>0</v>
      </c>
      <c r="T304" s="172">
        <f t="shared" si="116"/>
        <v>0</v>
      </c>
      <c r="U304" s="172">
        <f t="shared" si="116"/>
        <v>0</v>
      </c>
      <c r="V304" s="198">
        <f>SUM(V305:V305)</f>
        <v>1430000</v>
      </c>
      <c r="W304" s="172">
        <f t="shared" si="116"/>
        <v>0</v>
      </c>
      <c r="X304" s="172">
        <f t="shared" si="116"/>
        <v>0</v>
      </c>
      <c r="Y304" s="172">
        <f t="shared" si="116"/>
        <v>0</v>
      </c>
      <c r="Z304" s="172">
        <f t="shared" si="116"/>
        <v>0</v>
      </c>
      <c r="AA304" s="172">
        <f t="shared" si="116"/>
        <v>0</v>
      </c>
      <c r="AB304" s="198">
        <f>SUM(G304:AA304)-O304</f>
        <v>1430000</v>
      </c>
      <c r="AC304" s="172">
        <f>SUM(AC305:AC305)</f>
        <v>0</v>
      </c>
      <c r="AD304" s="172">
        <f>SUM(AD305:AD305)</f>
        <v>0</v>
      </c>
      <c r="AE304" s="187">
        <f t="shared" si="99"/>
        <v>1430000</v>
      </c>
      <c r="AF304" s="194"/>
      <c r="AG304" s="194"/>
      <c r="AH304" s="194"/>
    </row>
    <row r="305" spans="1:36" s="39" customFormat="1" ht="58.5" customHeight="1">
      <c r="A305" s="140"/>
      <c r="B305" s="107"/>
      <c r="C305" s="107"/>
      <c r="D305" s="107"/>
      <c r="E305" s="228" t="s">
        <v>539</v>
      </c>
      <c r="F305" s="80">
        <f t="shared" si="96"/>
        <v>0</v>
      </c>
      <c r="G305" s="103"/>
      <c r="H305" s="103"/>
      <c r="I305" s="103"/>
      <c r="J305" s="103"/>
      <c r="K305" s="103"/>
      <c r="L305" s="32"/>
      <c r="M305" s="209"/>
      <c r="N305" s="103"/>
      <c r="O305" s="80"/>
      <c r="P305" s="103"/>
      <c r="Q305" s="103"/>
      <c r="R305" s="103"/>
      <c r="S305" s="103"/>
      <c r="T305" s="103"/>
      <c r="U305" s="103"/>
      <c r="V305" s="32">
        <v>1430000</v>
      </c>
      <c r="W305" s="103"/>
      <c r="X305" s="103"/>
      <c r="Y305" s="103"/>
      <c r="Z305" s="103"/>
      <c r="AA305" s="103"/>
      <c r="AB305" s="32">
        <f>SUM(G305:AA305)-O305</f>
        <v>1430000</v>
      </c>
      <c r="AC305" s="103"/>
      <c r="AD305" s="103"/>
      <c r="AE305" s="104">
        <f>SUM(AB305:AD305)</f>
        <v>1430000</v>
      </c>
      <c r="AF305" s="141"/>
      <c r="AG305" s="141"/>
      <c r="AH305" s="141"/>
      <c r="AI305" s="208"/>
      <c r="AJ305" s="208"/>
    </row>
    <row r="306" spans="1:36" s="39" customFormat="1" ht="52.5" customHeight="1">
      <c r="A306" s="140"/>
      <c r="B306" s="101" t="s">
        <v>622</v>
      </c>
      <c r="C306" s="101" t="s">
        <v>202</v>
      </c>
      <c r="D306" s="101" t="s">
        <v>265</v>
      </c>
      <c r="E306" s="116" t="s">
        <v>203</v>
      </c>
      <c r="F306" s="80">
        <f t="shared" si="96"/>
        <v>0</v>
      </c>
      <c r="G306" s="103">
        <f>G307</f>
        <v>0</v>
      </c>
      <c r="H306" s="103">
        <f aca="true" t="shared" si="117" ref="H306:AA306">H307</f>
        <v>0</v>
      </c>
      <c r="I306" s="103">
        <f t="shared" si="117"/>
        <v>0</v>
      </c>
      <c r="J306" s="103">
        <f t="shared" si="117"/>
        <v>0</v>
      </c>
      <c r="K306" s="103">
        <f t="shared" si="117"/>
        <v>0</v>
      </c>
      <c r="L306" s="103">
        <f t="shared" si="117"/>
        <v>0</v>
      </c>
      <c r="M306" s="103">
        <f t="shared" si="117"/>
        <v>0</v>
      </c>
      <c r="N306" s="103">
        <f t="shared" si="117"/>
        <v>0</v>
      </c>
      <c r="O306" s="80">
        <f t="shared" si="117"/>
        <v>0</v>
      </c>
      <c r="P306" s="103">
        <f t="shared" si="117"/>
        <v>0</v>
      </c>
      <c r="Q306" s="103">
        <f t="shared" si="117"/>
        <v>0</v>
      </c>
      <c r="R306" s="103">
        <f t="shared" si="117"/>
        <v>0</v>
      </c>
      <c r="S306" s="103">
        <f t="shared" si="117"/>
        <v>0</v>
      </c>
      <c r="T306" s="103">
        <f t="shared" si="117"/>
        <v>0</v>
      </c>
      <c r="U306" s="103">
        <f t="shared" si="117"/>
        <v>0</v>
      </c>
      <c r="V306" s="103">
        <f t="shared" si="117"/>
        <v>-102800</v>
      </c>
      <c r="W306" s="103">
        <f t="shared" si="117"/>
        <v>0</v>
      </c>
      <c r="X306" s="103">
        <f t="shared" si="117"/>
        <v>0</v>
      </c>
      <c r="Y306" s="103">
        <f t="shared" si="117"/>
        <v>0</v>
      </c>
      <c r="Z306" s="103">
        <f t="shared" si="117"/>
        <v>0</v>
      </c>
      <c r="AA306" s="103">
        <f t="shared" si="117"/>
        <v>0</v>
      </c>
      <c r="AB306" s="32">
        <f>SUM(G306:AA306)-O306</f>
        <v>-102800</v>
      </c>
      <c r="AC306" s="103"/>
      <c r="AD306" s="103"/>
      <c r="AE306" s="104">
        <f>SUM(AB306:AD306)</f>
        <v>-102800</v>
      </c>
      <c r="AF306" s="208"/>
      <c r="AG306" s="208"/>
      <c r="AH306" s="208"/>
      <c r="AI306" s="208"/>
      <c r="AJ306" s="208"/>
    </row>
    <row r="307" spans="1:36" s="39" customFormat="1" ht="82.5" customHeight="1">
      <c r="A307" s="140"/>
      <c r="B307" s="107"/>
      <c r="C307" s="107"/>
      <c r="D307" s="107"/>
      <c r="E307" s="1" t="s">
        <v>227</v>
      </c>
      <c r="F307" s="80">
        <f t="shared" si="96"/>
        <v>0</v>
      </c>
      <c r="G307" s="103"/>
      <c r="H307" s="103"/>
      <c r="I307" s="103"/>
      <c r="J307" s="103"/>
      <c r="K307" s="103"/>
      <c r="L307" s="32"/>
      <c r="M307" s="209"/>
      <c r="N307" s="103"/>
      <c r="O307" s="80"/>
      <c r="P307" s="103"/>
      <c r="Q307" s="103"/>
      <c r="R307" s="103"/>
      <c r="S307" s="103"/>
      <c r="T307" s="103"/>
      <c r="U307" s="103"/>
      <c r="V307" s="32">
        <f>-2800-100000</f>
        <v>-102800</v>
      </c>
      <c r="W307" s="103"/>
      <c r="X307" s="103"/>
      <c r="Y307" s="103"/>
      <c r="Z307" s="103"/>
      <c r="AA307" s="103"/>
      <c r="AB307" s="32">
        <f>SUM(G307:AA307)-O307</f>
        <v>-102800</v>
      </c>
      <c r="AC307" s="103"/>
      <c r="AD307" s="103"/>
      <c r="AE307" s="104">
        <f>SUM(AB307:AD307)</f>
        <v>-102800</v>
      </c>
      <c r="AF307" s="141"/>
      <c r="AG307" s="141"/>
      <c r="AH307" s="141"/>
      <c r="AI307" s="208"/>
      <c r="AJ307" s="208"/>
    </row>
    <row r="308" spans="1:36" s="39" customFormat="1" ht="39" customHeight="1" hidden="1">
      <c r="A308" s="140"/>
      <c r="B308" s="101" t="s">
        <v>174</v>
      </c>
      <c r="C308" s="101" t="s">
        <v>175</v>
      </c>
      <c r="D308" s="101" t="s">
        <v>177</v>
      </c>
      <c r="E308" s="129" t="s">
        <v>176</v>
      </c>
      <c r="F308" s="80">
        <f t="shared" si="96"/>
        <v>0</v>
      </c>
      <c r="G308" s="103">
        <f>G309</f>
        <v>0</v>
      </c>
      <c r="H308" s="103">
        <f aca="true" t="shared" si="118" ref="H308:AA308">H309</f>
        <v>0</v>
      </c>
      <c r="I308" s="103">
        <f t="shared" si="118"/>
        <v>0</v>
      </c>
      <c r="J308" s="103">
        <f t="shared" si="118"/>
        <v>0</v>
      </c>
      <c r="K308" s="103">
        <f t="shared" si="118"/>
        <v>0</v>
      </c>
      <c r="L308" s="103">
        <f t="shared" si="118"/>
        <v>0</v>
      </c>
      <c r="M308" s="103">
        <f t="shared" si="118"/>
        <v>0</v>
      </c>
      <c r="N308" s="103">
        <f t="shared" si="118"/>
        <v>0</v>
      </c>
      <c r="O308" s="80">
        <f t="shared" si="118"/>
        <v>0</v>
      </c>
      <c r="P308" s="103">
        <f t="shared" si="118"/>
        <v>0</v>
      </c>
      <c r="Q308" s="103">
        <f t="shared" si="118"/>
        <v>0</v>
      </c>
      <c r="R308" s="103">
        <f t="shared" si="118"/>
        <v>0</v>
      </c>
      <c r="S308" s="103">
        <f t="shared" si="118"/>
        <v>0</v>
      </c>
      <c r="T308" s="103">
        <f t="shared" si="118"/>
        <v>0</v>
      </c>
      <c r="U308" s="103">
        <f t="shared" si="118"/>
        <v>0</v>
      </c>
      <c r="V308" s="103">
        <f t="shared" si="118"/>
        <v>0</v>
      </c>
      <c r="W308" s="103">
        <f t="shared" si="118"/>
        <v>0</v>
      </c>
      <c r="X308" s="103">
        <f t="shared" si="118"/>
        <v>0</v>
      </c>
      <c r="Y308" s="103">
        <f t="shared" si="118"/>
        <v>0</v>
      </c>
      <c r="Z308" s="103">
        <f t="shared" si="118"/>
        <v>0</v>
      </c>
      <c r="AA308" s="103">
        <f t="shared" si="118"/>
        <v>0</v>
      </c>
      <c r="AB308" s="103">
        <f t="shared" si="98"/>
        <v>0</v>
      </c>
      <c r="AC308" s="103"/>
      <c r="AD308" s="103"/>
      <c r="AE308" s="104">
        <f t="shared" si="99"/>
        <v>0</v>
      </c>
      <c r="AF308" s="208"/>
      <c r="AG308" s="208"/>
      <c r="AH308" s="208"/>
      <c r="AI308" s="208"/>
      <c r="AJ308" s="208"/>
    </row>
    <row r="309" spans="1:36" s="39" customFormat="1" ht="62.25" customHeight="1" hidden="1">
      <c r="A309" s="140"/>
      <c r="B309" s="107"/>
      <c r="C309" s="107"/>
      <c r="D309" s="107"/>
      <c r="E309" s="228" t="s">
        <v>178</v>
      </c>
      <c r="F309" s="80">
        <f t="shared" si="96"/>
        <v>0</v>
      </c>
      <c r="G309" s="103"/>
      <c r="H309" s="103"/>
      <c r="I309" s="103"/>
      <c r="J309" s="103"/>
      <c r="K309" s="103"/>
      <c r="L309" s="103"/>
      <c r="M309" s="209"/>
      <c r="N309" s="103"/>
      <c r="O309" s="80"/>
      <c r="P309" s="103"/>
      <c r="Q309" s="103"/>
      <c r="R309" s="103"/>
      <c r="S309" s="103"/>
      <c r="T309" s="103"/>
      <c r="U309" s="103"/>
      <c r="V309" s="103"/>
      <c r="W309" s="103"/>
      <c r="X309" s="103"/>
      <c r="Y309" s="103"/>
      <c r="Z309" s="103"/>
      <c r="AA309" s="103"/>
      <c r="AB309" s="103">
        <f t="shared" si="98"/>
        <v>0</v>
      </c>
      <c r="AC309" s="103"/>
      <c r="AD309" s="103"/>
      <c r="AE309" s="104">
        <f t="shared" si="99"/>
        <v>0</v>
      </c>
      <c r="AF309" s="208"/>
      <c r="AG309" s="208"/>
      <c r="AH309" s="208"/>
      <c r="AI309" s="208"/>
      <c r="AJ309" s="208"/>
    </row>
    <row r="310" spans="1:36" s="39" customFormat="1" ht="53.25" customHeight="1">
      <c r="A310" s="136"/>
      <c r="B310" s="77"/>
      <c r="C310" s="77"/>
      <c r="D310" s="77"/>
      <c r="E310" s="78" t="s">
        <v>359</v>
      </c>
      <c r="F310" s="80">
        <f t="shared" si="96"/>
        <v>0</v>
      </c>
      <c r="G310" s="104">
        <f aca="true" t="shared" si="119" ref="G310:AE310">G258+G261+G268+G266+G280+G290+G292+G294+G298+G304+G296+G306</f>
        <v>0</v>
      </c>
      <c r="H310" s="104">
        <f t="shared" si="119"/>
        <v>0</v>
      </c>
      <c r="I310" s="104">
        <f t="shared" si="119"/>
        <v>68049</v>
      </c>
      <c r="J310" s="104">
        <f t="shared" si="119"/>
        <v>0</v>
      </c>
      <c r="K310" s="104">
        <f t="shared" si="119"/>
        <v>0</v>
      </c>
      <c r="L310" s="104">
        <f t="shared" si="119"/>
        <v>-466319</v>
      </c>
      <c r="M310" s="104">
        <f t="shared" si="119"/>
        <v>-5000</v>
      </c>
      <c r="N310" s="104">
        <f t="shared" si="119"/>
        <v>0</v>
      </c>
      <c r="O310" s="84">
        <f t="shared" si="119"/>
        <v>0</v>
      </c>
      <c r="P310" s="104">
        <f t="shared" si="119"/>
        <v>0</v>
      </c>
      <c r="Q310" s="104">
        <f t="shared" si="119"/>
        <v>0</v>
      </c>
      <c r="R310" s="104">
        <f t="shared" si="119"/>
        <v>0</v>
      </c>
      <c r="S310" s="104">
        <f t="shared" si="119"/>
        <v>0</v>
      </c>
      <c r="T310" s="104">
        <f t="shared" si="119"/>
        <v>0</v>
      </c>
      <c r="U310" s="104">
        <f t="shared" si="119"/>
        <v>0</v>
      </c>
      <c r="V310" s="104">
        <f t="shared" si="119"/>
        <v>1568099</v>
      </c>
      <c r="W310" s="104">
        <f t="shared" si="119"/>
        <v>0</v>
      </c>
      <c r="X310" s="104">
        <f t="shared" si="119"/>
        <v>0</v>
      </c>
      <c r="Y310" s="104">
        <f t="shared" si="119"/>
        <v>0</v>
      </c>
      <c r="Z310" s="104">
        <f t="shared" si="119"/>
        <v>0</v>
      </c>
      <c r="AA310" s="104">
        <f t="shared" si="119"/>
        <v>-3231</v>
      </c>
      <c r="AB310" s="104">
        <f t="shared" si="119"/>
        <v>1161598</v>
      </c>
      <c r="AC310" s="104">
        <f t="shared" si="119"/>
        <v>0</v>
      </c>
      <c r="AD310" s="104">
        <f t="shared" si="119"/>
        <v>0</v>
      </c>
      <c r="AE310" s="104">
        <f t="shared" si="119"/>
        <v>1161598</v>
      </c>
      <c r="AF310" s="204"/>
      <c r="AG310" s="204"/>
      <c r="AH310" s="204"/>
      <c r="AI310" s="229"/>
      <c r="AJ310" s="229"/>
    </row>
    <row r="311" spans="1:34" s="39" customFormat="1" ht="60.75" customHeight="1">
      <c r="A311" s="136"/>
      <c r="B311" s="230">
        <v>2800000</v>
      </c>
      <c r="C311" s="77"/>
      <c r="D311" s="77"/>
      <c r="E311" s="134" t="s">
        <v>545</v>
      </c>
      <c r="F311" s="80">
        <f t="shared" si="96"/>
        <v>0</v>
      </c>
      <c r="G311" s="167"/>
      <c r="H311" s="103"/>
      <c r="I311" s="103"/>
      <c r="J311" s="103"/>
      <c r="K311" s="103"/>
      <c r="L311" s="103"/>
      <c r="M311" s="209"/>
      <c r="N311" s="103"/>
      <c r="O311" s="80"/>
      <c r="P311" s="103"/>
      <c r="Q311" s="103"/>
      <c r="R311" s="103"/>
      <c r="S311" s="103"/>
      <c r="T311" s="103"/>
      <c r="U311" s="103"/>
      <c r="V311" s="103"/>
      <c r="W311" s="103"/>
      <c r="X311" s="103"/>
      <c r="Y311" s="103"/>
      <c r="Z311" s="103"/>
      <c r="AA311" s="103"/>
      <c r="AB311" s="103"/>
      <c r="AC311" s="103"/>
      <c r="AD311" s="103"/>
      <c r="AE311" s="104"/>
      <c r="AF311" s="38"/>
      <c r="AG311" s="38"/>
      <c r="AH311" s="38"/>
    </row>
    <row r="312" spans="1:34" s="39" customFormat="1" ht="60.75" customHeight="1">
      <c r="A312" s="136"/>
      <c r="B312" s="230">
        <v>2810000</v>
      </c>
      <c r="C312" s="77"/>
      <c r="D312" s="77"/>
      <c r="E312" s="134" t="s">
        <v>540</v>
      </c>
      <c r="F312" s="80">
        <f t="shared" si="96"/>
        <v>0</v>
      </c>
      <c r="G312" s="167"/>
      <c r="H312" s="103"/>
      <c r="I312" s="103"/>
      <c r="J312" s="103"/>
      <c r="K312" s="103"/>
      <c r="L312" s="103"/>
      <c r="M312" s="209"/>
      <c r="N312" s="103"/>
      <c r="O312" s="80"/>
      <c r="P312" s="103"/>
      <c r="Q312" s="103"/>
      <c r="R312" s="103"/>
      <c r="S312" s="103"/>
      <c r="T312" s="103"/>
      <c r="U312" s="103"/>
      <c r="V312" s="103"/>
      <c r="W312" s="103"/>
      <c r="X312" s="103"/>
      <c r="Y312" s="103"/>
      <c r="Z312" s="103"/>
      <c r="AA312" s="103"/>
      <c r="AB312" s="103"/>
      <c r="AC312" s="103"/>
      <c r="AD312" s="103"/>
      <c r="AE312" s="104"/>
      <c r="AF312" s="38"/>
      <c r="AG312" s="38"/>
      <c r="AH312" s="38"/>
    </row>
    <row r="313" spans="1:34" s="39" customFormat="1" ht="60.75" customHeight="1">
      <c r="A313" s="76" t="s">
        <v>260</v>
      </c>
      <c r="B313" s="101" t="s">
        <v>99</v>
      </c>
      <c r="C313" s="101" t="s">
        <v>317</v>
      </c>
      <c r="D313" s="101" t="s">
        <v>261</v>
      </c>
      <c r="E313" s="116" t="s">
        <v>454</v>
      </c>
      <c r="F313" s="80">
        <f t="shared" si="96"/>
        <v>45500</v>
      </c>
      <c r="G313" s="103">
        <f>G314</f>
        <v>9500</v>
      </c>
      <c r="H313" s="103">
        <f>H314</f>
        <v>36000</v>
      </c>
      <c r="I313" s="103">
        <f>I314+I315</f>
        <v>24000</v>
      </c>
      <c r="J313" s="103">
        <f aca="true" t="shared" si="120" ref="J313:Z313">J314+J315</f>
        <v>0</v>
      </c>
      <c r="K313" s="103">
        <f t="shared" si="120"/>
        <v>0</v>
      </c>
      <c r="L313" s="103">
        <f t="shared" si="120"/>
        <v>-15500</v>
      </c>
      <c r="M313" s="103">
        <f t="shared" si="120"/>
        <v>-8500</v>
      </c>
      <c r="N313" s="103">
        <f t="shared" si="120"/>
        <v>0</v>
      </c>
      <c r="O313" s="80">
        <f t="shared" si="120"/>
        <v>0</v>
      </c>
      <c r="P313" s="103">
        <f t="shared" si="120"/>
        <v>-3000</v>
      </c>
      <c r="Q313" s="103">
        <f t="shared" si="120"/>
        <v>-500</v>
      </c>
      <c r="R313" s="103">
        <f t="shared" si="120"/>
        <v>-2000</v>
      </c>
      <c r="S313" s="103">
        <f t="shared" si="120"/>
        <v>0</v>
      </c>
      <c r="T313" s="103">
        <f t="shared" si="120"/>
        <v>0</v>
      </c>
      <c r="U313" s="103">
        <f t="shared" si="120"/>
        <v>0</v>
      </c>
      <c r="V313" s="103">
        <f t="shared" si="120"/>
        <v>0</v>
      </c>
      <c r="W313" s="103">
        <f t="shared" si="120"/>
        <v>0</v>
      </c>
      <c r="X313" s="103">
        <f t="shared" si="120"/>
        <v>0</v>
      </c>
      <c r="Y313" s="103">
        <f t="shared" si="120"/>
        <v>0</v>
      </c>
      <c r="Z313" s="103">
        <f t="shared" si="120"/>
        <v>0</v>
      </c>
      <c r="AA313" s="103">
        <f>AA314</f>
        <v>0</v>
      </c>
      <c r="AB313" s="103">
        <f aca="true" t="shared" si="121" ref="AB313:AB322">SUM(G313:AA313)-O313</f>
        <v>40000</v>
      </c>
      <c r="AC313" s="103"/>
      <c r="AD313" s="103"/>
      <c r="AE313" s="104">
        <f aca="true" t="shared" si="122" ref="AE313:AE319">SUM(AB313:AD313)</f>
        <v>40000</v>
      </c>
      <c r="AF313" s="208"/>
      <c r="AG313" s="208"/>
      <c r="AH313" s="208"/>
    </row>
    <row r="314" spans="1:34" s="39" customFormat="1" ht="60.75" customHeight="1">
      <c r="A314" s="76"/>
      <c r="B314" s="107"/>
      <c r="C314" s="107"/>
      <c r="D314" s="107"/>
      <c r="E314" s="1" t="s">
        <v>100</v>
      </c>
      <c r="F314" s="80">
        <f t="shared" si="96"/>
        <v>45500</v>
      </c>
      <c r="G314" s="172">
        <v>9500</v>
      </c>
      <c r="H314" s="103">
        <f>30500+5500</f>
        <v>36000</v>
      </c>
      <c r="I314" s="103">
        <v>24000</v>
      </c>
      <c r="J314" s="103"/>
      <c r="K314" s="103"/>
      <c r="L314" s="103">
        <v>-15500</v>
      </c>
      <c r="M314" s="209">
        <v>-8500</v>
      </c>
      <c r="N314" s="103"/>
      <c r="O314" s="80"/>
      <c r="P314" s="103">
        <v>-3000</v>
      </c>
      <c r="Q314" s="103">
        <v>-500</v>
      </c>
      <c r="R314" s="103">
        <v>-2000</v>
      </c>
      <c r="S314" s="103"/>
      <c r="T314" s="103"/>
      <c r="U314" s="103"/>
      <c r="V314" s="103"/>
      <c r="W314" s="103"/>
      <c r="X314" s="103"/>
      <c r="Y314" s="103"/>
      <c r="Z314" s="103"/>
      <c r="AA314" s="103"/>
      <c r="AB314" s="103">
        <f>SUM(G314:AA314)-O314</f>
        <v>40000</v>
      </c>
      <c r="AC314" s="103"/>
      <c r="AD314" s="103"/>
      <c r="AE314" s="104">
        <f>SUM(AB314:AD314)</f>
        <v>40000</v>
      </c>
      <c r="AF314" s="123"/>
      <c r="AG314" s="141"/>
      <c r="AH314" s="141"/>
    </row>
    <row r="315" spans="1:34" s="39" customFormat="1" ht="78" customHeight="1" hidden="1">
      <c r="A315" s="76"/>
      <c r="B315" s="107"/>
      <c r="C315" s="107"/>
      <c r="D315" s="107"/>
      <c r="E315" s="1" t="s">
        <v>638</v>
      </c>
      <c r="F315" s="80"/>
      <c r="G315" s="172"/>
      <c r="H315" s="103"/>
      <c r="I315" s="103"/>
      <c r="J315" s="103"/>
      <c r="K315" s="103"/>
      <c r="L315" s="103"/>
      <c r="M315" s="209"/>
      <c r="N315" s="103"/>
      <c r="O315" s="80"/>
      <c r="P315" s="103"/>
      <c r="Q315" s="103"/>
      <c r="R315" s="103"/>
      <c r="S315" s="103"/>
      <c r="T315" s="103"/>
      <c r="U315" s="103"/>
      <c r="V315" s="103"/>
      <c r="W315" s="103"/>
      <c r="X315" s="103"/>
      <c r="Y315" s="103"/>
      <c r="Z315" s="103"/>
      <c r="AA315" s="103"/>
      <c r="AB315" s="103">
        <f>SUM(G315:AA315)-O315</f>
        <v>0</v>
      </c>
      <c r="AC315" s="103"/>
      <c r="AD315" s="103"/>
      <c r="AE315" s="104">
        <f>SUM(AB315:AD315)</f>
        <v>0</v>
      </c>
      <c r="AF315" s="208"/>
      <c r="AG315" s="208"/>
      <c r="AH315" s="208"/>
    </row>
    <row r="316" spans="1:34" s="39" customFormat="1" ht="60.75" customHeight="1" hidden="1">
      <c r="A316" s="76"/>
      <c r="B316" s="101" t="s">
        <v>125</v>
      </c>
      <c r="C316" s="101" t="s">
        <v>407</v>
      </c>
      <c r="D316" s="101" t="s">
        <v>292</v>
      </c>
      <c r="E316" s="102" t="s">
        <v>418</v>
      </c>
      <c r="F316" s="80">
        <f t="shared" si="96"/>
        <v>0</v>
      </c>
      <c r="G316" s="103"/>
      <c r="H316" s="103"/>
      <c r="I316" s="103"/>
      <c r="J316" s="103"/>
      <c r="K316" s="103"/>
      <c r="L316" s="103"/>
      <c r="M316" s="209"/>
      <c r="N316" s="103"/>
      <c r="O316" s="80">
        <f>SUM(P316:R316)</f>
        <v>0</v>
      </c>
      <c r="P316" s="103"/>
      <c r="Q316" s="103"/>
      <c r="R316" s="103"/>
      <c r="S316" s="103"/>
      <c r="T316" s="103"/>
      <c r="U316" s="103"/>
      <c r="V316" s="103"/>
      <c r="W316" s="103"/>
      <c r="X316" s="103"/>
      <c r="Y316" s="103"/>
      <c r="Z316" s="103"/>
      <c r="AA316" s="103"/>
      <c r="AB316" s="103">
        <f t="shared" si="121"/>
        <v>0</v>
      </c>
      <c r="AC316" s="103"/>
      <c r="AD316" s="103"/>
      <c r="AE316" s="104">
        <f t="shared" si="122"/>
        <v>0</v>
      </c>
      <c r="AF316" s="38"/>
      <c r="AG316" s="38"/>
      <c r="AH316" s="38"/>
    </row>
    <row r="317" spans="1:34" s="39" customFormat="1" ht="41.25" customHeight="1">
      <c r="A317" s="76" t="s">
        <v>244</v>
      </c>
      <c r="B317" s="101" t="s">
        <v>469</v>
      </c>
      <c r="C317" s="101" t="s">
        <v>123</v>
      </c>
      <c r="D317" s="101" t="s">
        <v>419</v>
      </c>
      <c r="E317" s="116" t="s">
        <v>124</v>
      </c>
      <c r="F317" s="80">
        <f t="shared" si="96"/>
        <v>0</v>
      </c>
      <c r="G317" s="103">
        <f>G318</f>
        <v>0</v>
      </c>
      <c r="H317" s="103">
        <f aca="true" t="shared" si="123" ref="H317:AA317">H318</f>
        <v>0</v>
      </c>
      <c r="I317" s="103">
        <f t="shared" si="123"/>
        <v>0</v>
      </c>
      <c r="J317" s="103">
        <f t="shared" si="123"/>
        <v>0</v>
      </c>
      <c r="K317" s="103">
        <f t="shared" si="123"/>
        <v>0</v>
      </c>
      <c r="L317" s="103">
        <f t="shared" si="123"/>
        <v>-10000</v>
      </c>
      <c r="M317" s="103">
        <f t="shared" si="123"/>
        <v>0</v>
      </c>
      <c r="N317" s="103">
        <f t="shared" si="123"/>
        <v>0</v>
      </c>
      <c r="O317" s="80">
        <f t="shared" si="123"/>
        <v>0</v>
      </c>
      <c r="P317" s="103">
        <f t="shared" si="123"/>
        <v>0</v>
      </c>
      <c r="Q317" s="103">
        <f t="shared" si="123"/>
        <v>0</v>
      </c>
      <c r="R317" s="103">
        <f t="shared" si="123"/>
        <v>0</v>
      </c>
      <c r="S317" s="103">
        <f t="shared" si="123"/>
        <v>0</v>
      </c>
      <c r="T317" s="103">
        <f t="shared" si="123"/>
        <v>0</v>
      </c>
      <c r="U317" s="103">
        <f t="shared" si="123"/>
        <v>0</v>
      </c>
      <c r="V317" s="103">
        <f t="shared" si="123"/>
        <v>0</v>
      </c>
      <c r="W317" s="103">
        <f t="shared" si="123"/>
        <v>0</v>
      </c>
      <c r="X317" s="103">
        <f t="shared" si="123"/>
        <v>0</v>
      </c>
      <c r="Y317" s="103">
        <f t="shared" si="123"/>
        <v>0</v>
      </c>
      <c r="Z317" s="103">
        <f t="shared" si="123"/>
        <v>0</v>
      </c>
      <c r="AA317" s="103">
        <f t="shared" si="123"/>
        <v>0</v>
      </c>
      <c r="AB317" s="103">
        <f t="shared" si="121"/>
        <v>-10000</v>
      </c>
      <c r="AC317" s="103"/>
      <c r="AD317" s="103"/>
      <c r="AE317" s="104">
        <f t="shared" si="122"/>
        <v>-10000</v>
      </c>
      <c r="AF317" s="38"/>
      <c r="AG317" s="38"/>
      <c r="AH317" s="38"/>
    </row>
    <row r="318" spans="1:34" s="214" customFormat="1" ht="41.25" customHeight="1">
      <c r="A318" s="140"/>
      <c r="B318" s="107"/>
      <c r="C318" s="107"/>
      <c r="D318" s="107"/>
      <c r="E318" s="1" t="s">
        <v>226</v>
      </c>
      <c r="F318" s="80">
        <f t="shared" si="96"/>
        <v>0</v>
      </c>
      <c r="G318" s="175"/>
      <c r="H318" s="175"/>
      <c r="I318" s="175"/>
      <c r="J318" s="175"/>
      <c r="K318" s="175"/>
      <c r="L318" s="172">
        <v>-10000</v>
      </c>
      <c r="M318" s="225"/>
      <c r="N318" s="175"/>
      <c r="O318" s="226"/>
      <c r="P318" s="175"/>
      <c r="Q318" s="175"/>
      <c r="R318" s="175"/>
      <c r="S318" s="175"/>
      <c r="T318" s="175"/>
      <c r="U318" s="175"/>
      <c r="V318" s="175"/>
      <c r="W318" s="175"/>
      <c r="X318" s="175"/>
      <c r="Y318" s="175"/>
      <c r="Z318" s="175"/>
      <c r="AA318" s="175"/>
      <c r="AB318" s="172">
        <f t="shared" si="121"/>
        <v>-10000</v>
      </c>
      <c r="AC318" s="172"/>
      <c r="AD318" s="172"/>
      <c r="AE318" s="187">
        <f t="shared" si="122"/>
        <v>-10000</v>
      </c>
      <c r="AF318" s="133"/>
      <c r="AG318" s="133"/>
      <c r="AH318" s="133"/>
    </row>
    <row r="319" spans="1:34" s="39" customFormat="1" ht="41.25" customHeight="1">
      <c r="A319" s="76" t="s">
        <v>305</v>
      </c>
      <c r="B319" s="101" t="s">
        <v>126</v>
      </c>
      <c r="C319" s="101" t="s">
        <v>122</v>
      </c>
      <c r="D319" s="101" t="s">
        <v>268</v>
      </c>
      <c r="E319" s="116" t="s">
        <v>120</v>
      </c>
      <c r="F319" s="80">
        <f t="shared" si="96"/>
        <v>0</v>
      </c>
      <c r="G319" s="103">
        <f>G321</f>
        <v>0</v>
      </c>
      <c r="H319" s="103">
        <f>H321</f>
        <v>0</v>
      </c>
      <c r="I319" s="103">
        <f>I321</f>
        <v>0</v>
      </c>
      <c r="J319" s="103">
        <f>J321</f>
        <v>0</v>
      </c>
      <c r="K319" s="103">
        <f>K321</f>
        <v>0</v>
      </c>
      <c r="L319" s="103">
        <f>L321+L320</f>
        <v>-36000</v>
      </c>
      <c r="M319" s="103">
        <f aca="true" t="shared" si="124" ref="M319:AA319">M321</f>
        <v>0</v>
      </c>
      <c r="N319" s="103">
        <f t="shared" si="124"/>
        <v>0</v>
      </c>
      <c r="O319" s="80">
        <f t="shared" si="124"/>
        <v>0</v>
      </c>
      <c r="P319" s="103">
        <f t="shared" si="124"/>
        <v>0</v>
      </c>
      <c r="Q319" s="103">
        <f t="shared" si="124"/>
        <v>0</v>
      </c>
      <c r="R319" s="103">
        <f t="shared" si="124"/>
        <v>0</v>
      </c>
      <c r="S319" s="103">
        <f t="shared" si="124"/>
        <v>0</v>
      </c>
      <c r="T319" s="103">
        <f t="shared" si="124"/>
        <v>0</v>
      </c>
      <c r="U319" s="103">
        <f t="shared" si="124"/>
        <v>0</v>
      </c>
      <c r="V319" s="103">
        <f t="shared" si="124"/>
        <v>0</v>
      </c>
      <c r="W319" s="103">
        <f t="shared" si="124"/>
        <v>0</v>
      </c>
      <c r="X319" s="103">
        <f t="shared" si="124"/>
        <v>0</v>
      </c>
      <c r="Y319" s="103">
        <f t="shared" si="124"/>
        <v>0</v>
      </c>
      <c r="Z319" s="103">
        <f t="shared" si="124"/>
        <v>0</v>
      </c>
      <c r="AA319" s="103">
        <f t="shared" si="124"/>
        <v>0</v>
      </c>
      <c r="AB319" s="103">
        <f t="shared" si="121"/>
        <v>-36000</v>
      </c>
      <c r="AC319" s="103"/>
      <c r="AD319" s="103"/>
      <c r="AE319" s="104">
        <f t="shared" si="122"/>
        <v>-36000</v>
      </c>
      <c r="AF319" s="38"/>
      <c r="AG319" s="38"/>
      <c r="AH319" s="38"/>
    </row>
    <row r="320" spans="1:34" s="39" customFormat="1" ht="41.25" customHeight="1">
      <c r="A320" s="76"/>
      <c r="B320" s="101"/>
      <c r="C320" s="101"/>
      <c r="D320" s="101"/>
      <c r="E320" s="1" t="s">
        <v>226</v>
      </c>
      <c r="F320" s="80">
        <f t="shared" si="96"/>
        <v>0</v>
      </c>
      <c r="G320" s="103"/>
      <c r="H320" s="103"/>
      <c r="I320" s="103"/>
      <c r="J320" s="103"/>
      <c r="K320" s="103"/>
      <c r="L320" s="103">
        <v>-36000</v>
      </c>
      <c r="M320" s="103"/>
      <c r="N320" s="103"/>
      <c r="O320" s="80"/>
      <c r="P320" s="103"/>
      <c r="Q320" s="103"/>
      <c r="R320" s="103"/>
      <c r="S320" s="103"/>
      <c r="T320" s="103"/>
      <c r="U320" s="103"/>
      <c r="V320" s="103"/>
      <c r="W320" s="103"/>
      <c r="X320" s="103"/>
      <c r="Y320" s="103"/>
      <c r="Z320" s="103"/>
      <c r="AA320" s="103"/>
      <c r="AB320" s="103">
        <f>SUM(G320:AA320)-O320</f>
        <v>-36000</v>
      </c>
      <c r="AC320" s="103"/>
      <c r="AD320" s="103"/>
      <c r="AE320" s="104">
        <f>SUM(AB320:AD320)</f>
        <v>-36000</v>
      </c>
      <c r="AF320" s="38"/>
      <c r="AG320" s="38"/>
      <c r="AH320" s="38"/>
    </row>
    <row r="321" spans="1:34" s="214" customFormat="1" ht="41.25" customHeight="1" hidden="1">
      <c r="A321" s="140"/>
      <c r="B321" s="107"/>
      <c r="C321" s="107"/>
      <c r="D321" s="107"/>
      <c r="E321" s="1"/>
      <c r="F321" s="80">
        <f t="shared" si="96"/>
        <v>0</v>
      </c>
      <c r="G321" s="175"/>
      <c r="H321" s="175"/>
      <c r="I321" s="175"/>
      <c r="J321" s="175"/>
      <c r="K321" s="175"/>
      <c r="L321" s="175"/>
      <c r="M321" s="225"/>
      <c r="N321" s="175"/>
      <c r="O321" s="226"/>
      <c r="P321" s="175"/>
      <c r="Q321" s="175"/>
      <c r="R321" s="175"/>
      <c r="S321" s="175"/>
      <c r="T321" s="175"/>
      <c r="U321" s="175"/>
      <c r="V321" s="175"/>
      <c r="W321" s="175"/>
      <c r="X321" s="175"/>
      <c r="Y321" s="175"/>
      <c r="Z321" s="175"/>
      <c r="AA321" s="175"/>
      <c r="AB321" s="175">
        <f t="shared" si="121"/>
        <v>0</v>
      </c>
      <c r="AC321" s="175"/>
      <c r="AD321" s="175"/>
      <c r="AE321" s="231">
        <f>SUM(AB321:AD321)</f>
        <v>0</v>
      </c>
      <c r="AF321" s="232"/>
      <c r="AG321" s="232"/>
      <c r="AH321" s="232"/>
    </row>
    <row r="322" spans="1:34" s="39" customFormat="1" ht="32.25" customHeight="1">
      <c r="A322" s="136"/>
      <c r="B322" s="77"/>
      <c r="C322" s="77"/>
      <c r="D322" s="77"/>
      <c r="E322" s="233" t="s">
        <v>359</v>
      </c>
      <c r="F322" s="80">
        <f t="shared" si="96"/>
        <v>45500</v>
      </c>
      <c r="G322" s="177">
        <f aca="true" t="shared" si="125" ref="G322:N322">G313+G316+G317+G319</f>
        <v>9500</v>
      </c>
      <c r="H322" s="177">
        <f t="shared" si="125"/>
        <v>36000</v>
      </c>
      <c r="I322" s="177">
        <f t="shared" si="125"/>
        <v>24000</v>
      </c>
      <c r="J322" s="177">
        <f t="shared" si="125"/>
        <v>0</v>
      </c>
      <c r="K322" s="177">
        <f t="shared" si="125"/>
        <v>0</v>
      </c>
      <c r="L322" s="177">
        <f t="shared" si="125"/>
        <v>-61500</v>
      </c>
      <c r="M322" s="177">
        <f t="shared" si="125"/>
        <v>-8500</v>
      </c>
      <c r="N322" s="177">
        <f t="shared" si="125"/>
        <v>0</v>
      </c>
      <c r="O322" s="80">
        <f>SUM(P322:R322)</f>
        <v>-5500</v>
      </c>
      <c r="P322" s="177">
        <f aca="true" t="shared" si="126" ref="P322:AA322">P313+P316+P317+P319</f>
        <v>-3000</v>
      </c>
      <c r="Q322" s="177">
        <f t="shared" si="126"/>
        <v>-500</v>
      </c>
      <c r="R322" s="177">
        <f t="shared" si="126"/>
        <v>-2000</v>
      </c>
      <c r="S322" s="177">
        <f t="shared" si="126"/>
        <v>0</v>
      </c>
      <c r="T322" s="177">
        <f t="shared" si="126"/>
        <v>0</v>
      </c>
      <c r="U322" s="177">
        <f t="shared" si="126"/>
        <v>0</v>
      </c>
      <c r="V322" s="177">
        <f t="shared" si="126"/>
        <v>0</v>
      </c>
      <c r="W322" s="177">
        <f t="shared" si="126"/>
        <v>0</v>
      </c>
      <c r="X322" s="177">
        <f t="shared" si="126"/>
        <v>0</v>
      </c>
      <c r="Y322" s="177">
        <f t="shared" si="126"/>
        <v>0</v>
      </c>
      <c r="Z322" s="177">
        <f t="shared" si="126"/>
        <v>0</v>
      </c>
      <c r="AA322" s="177">
        <f t="shared" si="126"/>
        <v>0</v>
      </c>
      <c r="AB322" s="103">
        <f t="shared" si="121"/>
        <v>-6000</v>
      </c>
      <c r="AC322" s="103"/>
      <c r="AD322" s="103"/>
      <c r="AE322" s="104">
        <f>SUM(AB322:AD322)</f>
        <v>-6000</v>
      </c>
      <c r="AF322" s="204"/>
      <c r="AG322" s="204"/>
      <c r="AH322" s="204"/>
    </row>
    <row r="323" spans="1:34" s="39" customFormat="1" ht="60.75" customHeight="1">
      <c r="A323" s="136"/>
      <c r="B323" s="77" t="s">
        <v>101</v>
      </c>
      <c r="C323" s="77"/>
      <c r="D323" s="77"/>
      <c r="E323" s="134" t="s">
        <v>541</v>
      </c>
      <c r="F323" s="80">
        <f t="shared" si="96"/>
        <v>0</v>
      </c>
      <c r="G323" s="103"/>
      <c r="H323" s="103"/>
      <c r="I323" s="103"/>
      <c r="J323" s="103"/>
      <c r="K323" s="103"/>
      <c r="L323" s="103"/>
      <c r="M323" s="209"/>
      <c r="N323" s="103"/>
      <c r="O323" s="80"/>
      <c r="P323" s="103"/>
      <c r="Q323" s="103"/>
      <c r="R323" s="103"/>
      <c r="S323" s="103"/>
      <c r="T323" s="103"/>
      <c r="U323" s="103"/>
      <c r="V323" s="103"/>
      <c r="W323" s="103"/>
      <c r="X323" s="103"/>
      <c r="Y323" s="103"/>
      <c r="Z323" s="103"/>
      <c r="AA323" s="103"/>
      <c r="AB323" s="103"/>
      <c r="AC323" s="103"/>
      <c r="AD323" s="103"/>
      <c r="AE323" s="104"/>
      <c r="AF323" s="38"/>
      <c r="AG323" s="38"/>
      <c r="AH323" s="38"/>
    </row>
    <row r="324" spans="1:34" s="39" customFormat="1" ht="60.75" customHeight="1">
      <c r="A324" s="136"/>
      <c r="B324" s="93" t="s">
        <v>102</v>
      </c>
      <c r="C324" s="101"/>
      <c r="D324" s="101"/>
      <c r="E324" s="134" t="s">
        <v>544</v>
      </c>
      <c r="F324" s="80">
        <f t="shared" si="96"/>
        <v>0</v>
      </c>
      <c r="G324" s="103"/>
      <c r="H324" s="103"/>
      <c r="I324" s="103"/>
      <c r="J324" s="103"/>
      <c r="K324" s="103"/>
      <c r="L324" s="103"/>
      <c r="M324" s="209"/>
      <c r="N324" s="103"/>
      <c r="O324" s="80"/>
      <c r="P324" s="103"/>
      <c r="Q324" s="103"/>
      <c r="R324" s="103"/>
      <c r="S324" s="103"/>
      <c r="T324" s="103"/>
      <c r="U324" s="103"/>
      <c r="V324" s="103"/>
      <c r="W324" s="103"/>
      <c r="X324" s="103"/>
      <c r="Y324" s="103"/>
      <c r="Z324" s="103"/>
      <c r="AA324" s="103"/>
      <c r="AB324" s="103"/>
      <c r="AC324" s="103"/>
      <c r="AD324" s="103"/>
      <c r="AE324" s="104"/>
      <c r="AF324" s="38"/>
      <c r="AG324" s="38"/>
      <c r="AH324" s="38"/>
    </row>
    <row r="325" spans="1:34" s="39" customFormat="1" ht="60" customHeight="1">
      <c r="A325" s="76" t="s">
        <v>260</v>
      </c>
      <c r="B325" s="101" t="s">
        <v>103</v>
      </c>
      <c r="C325" s="101" t="s">
        <v>317</v>
      </c>
      <c r="D325" s="101" t="s">
        <v>261</v>
      </c>
      <c r="E325" s="116" t="s">
        <v>454</v>
      </c>
      <c r="F325" s="80">
        <f t="shared" si="96"/>
        <v>279960</v>
      </c>
      <c r="G325" s="103">
        <f>G326</f>
        <v>272112</v>
      </c>
      <c r="H325" s="103">
        <f>H326</f>
        <v>7848</v>
      </c>
      <c r="I325" s="103">
        <f>I326+I327</f>
        <v>0</v>
      </c>
      <c r="J325" s="103">
        <f aca="true" t="shared" si="127" ref="J325:Z325">J326+J327</f>
        <v>0</v>
      </c>
      <c r="K325" s="103">
        <f t="shared" si="127"/>
        <v>0</v>
      </c>
      <c r="L325" s="103">
        <f t="shared" si="127"/>
        <v>0</v>
      </c>
      <c r="M325" s="103">
        <f t="shared" si="127"/>
        <v>0</v>
      </c>
      <c r="N325" s="103">
        <f t="shared" si="127"/>
        <v>0</v>
      </c>
      <c r="O325" s="80">
        <f t="shared" si="127"/>
        <v>0</v>
      </c>
      <c r="P325" s="103">
        <f t="shared" si="127"/>
        <v>0</v>
      </c>
      <c r="Q325" s="103">
        <f t="shared" si="127"/>
        <v>0</v>
      </c>
      <c r="R325" s="103">
        <f t="shared" si="127"/>
        <v>0</v>
      </c>
      <c r="S325" s="103">
        <f t="shared" si="127"/>
        <v>0</v>
      </c>
      <c r="T325" s="103">
        <f t="shared" si="127"/>
        <v>0</v>
      </c>
      <c r="U325" s="103">
        <f t="shared" si="127"/>
        <v>0</v>
      </c>
      <c r="V325" s="103">
        <f t="shared" si="127"/>
        <v>0</v>
      </c>
      <c r="W325" s="103">
        <f t="shared" si="127"/>
        <v>0</v>
      </c>
      <c r="X325" s="103">
        <f t="shared" si="127"/>
        <v>0</v>
      </c>
      <c r="Y325" s="103">
        <f t="shared" si="127"/>
        <v>0</v>
      </c>
      <c r="Z325" s="103">
        <f t="shared" si="127"/>
        <v>0</v>
      </c>
      <c r="AA325" s="103">
        <f>AA326</f>
        <v>0</v>
      </c>
      <c r="AB325" s="103">
        <f aca="true" t="shared" si="128" ref="AB325:AB343">SUM(G325:AA325)-O325</f>
        <v>279960</v>
      </c>
      <c r="AC325" s="103"/>
      <c r="AD325" s="103"/>
      <c r="AE325" s="104">
        <f aca="true" t="shared" si="129" ref="AE325:AE343">SUM(AB325:AD325)</f>
        <v>279960</v>
      </c>
      <c r="AF325" s="12"/>
      <c r="AG325" s="12"/>
      <c r="AH325" s="12"/>
    </row>
    <row r="326" spans="1:34" s="39" customFormat="1" ht="60" customHeight="1">
      <c r="A326" s="76"/>
      <c r="B326" s="107"/>
      <c r="C326" s="107"/>
      <c r="D326" s="107"/>
      <c r="E326" s="1" t="s">
        <v>104</v>
      </c>
      <c r="F326" s="80">
        <f t="shared" si="96"/>
        <v>279960</v>
      </c>
      <c r="G326" s="103">
        <v>272112</v>
      </c>
      <c r="H326" s="103">
        <v>7848</v>
      </c>
      <c r="I326" s="103"/>
      <c r="J326" s="103"/>
      <c r="K326" s="103"/>
      <c r="L326" s="103"/>
      <c r="M326" s="209"/>
      <c r="N326" s="103"/>
      <c r="O326" s="80"/>
      <c r="P326" s="103"/>
      <c r="Q326" s="103"/>
      <c r="R326" s="103"/>
      <c r="S326" s="103"/>
      <c r="T326" s="103"/>
      <c r="U326" s="103"/>
      <c r="V326" s="103"/>
      <c r="W326" s="103"/>
      <c r="X326" s="103"/>
      <c r="Y326" s="103"/>
      <c r="Z326" s="103"/>
      <c r="AA326" s="103"/>
      <c r="AB326" s="103">
        <f t="shared" si="128"/>
        <v>279960</v>
      </c>
      <c r="AC326" s="103"/>
      <c r="AD326" s="103"/>
      <c r="AE326" s="104">
        <f t="shared" si="129"/>
        <v>279960</v>
      </c>
      <c r="AF326" s="138"/>
      <c r="AG326" s="12"/>
      <c r="AH326" s="12"/>
    </row>
    <row r="327" spans="1:34" s="39" customFormat="1" ht="81" customHeight="1" hidden="1">
      <c r="A327" s="76"/>
      <c r="B327" s="107"/>
      <c r="C327" s="107"/>
      <c r="D327" s="107"/>
      <c r="E327" s="1" t="s">
        <v>638</v>
      </c>
      <c r="F327" s="80"/>
      <c r="G327" s="103"/>
      <c r="H327" s="103"/>
      <c r="I327" s="103"/>
      <c r="J327" s="103"/>
      <c r="K327" s="103"/>
      <c r="L327" s="103"/>
      <c r="M327" s="209"/>
      <c r="N327" s="103"/>
      <c r="O327" s="80"/>
      <c r="P327" s="103"/>
      <c r="Q327" s="103"/>
      <c r="R327" s="103"/>
      <c r="S327" s="103"/>
      <c r="T327" s="103"/>
      <c r="U327" s="103"/>
      <c r="V327" s="103"/>
      <c r="W327" s="103"/>
      <c r="X327" s="103"/>
      <c r="Y327" s="103"/>
      <c r="Z327" s="103"/>
      <c r="AA327" s="103"/>
      <c r="AB327" s="103">
        <f t="shared" si="128"/>
        <v>0</v>
      </c>
      <c r="AC327" s="103"/>
      <c r="AD327" s="103"/>
      <c r="AE327" s="104">
        <f t="shared" si="129"/>
        <v>0</v>
      </c>
      <c r="AF327" s="123"/>
      <c r="AG327" s="123"/>
      <c r="AH327" s="123"/>
    </row>
    <row r="328" spans="1:34" s="39" customFormat="1" ht="60.75" customHeight="1" hidden="1">
      <c r="A328" s="76"/>
      <c r="B328" s="101" t="s">
        <v>207</v>
      </c>
      <c r="C328" s="101" t="s">
        <v>122</v>
      </c>
      <c r="D328" s="101" t="s">
        <v>268</v>
      </c>
      <c r="E328" s="116" t="s">
        <v>120</v>
      </c>
      <c r="F328" s="80">
        <f t="shared" si="96"/>
        <v>0</v>
      </c>
      <c r="G328" s="103">
        <f>G329</f>
        <v>0</v>
      </c>
      <c r="H328" s="103">
        <f aca="true" t="shared" si="130" ref="H328:AA328">H329</f>
        <v>0</v>
      </c>
      <c r="I328" s="103">
        <f t="shared" si="130"/>
        <v>0</v>
      </c>
      <c r="J328" s="103">
        <f t="shared" si="130"/>
        <v>0</v>
      </c>
      <c r="K328" s="103">
        <f t="shared" si="130"/>
        <v>0</v>
      </c>
      <c r="L328" s="103">
        <f t="shared" si="130"/>
        <v>0</v>
      </c>
      <c r="M328" s="103">
        <f t="shared" si="130"/>
        <v>0</v>
      </c>
      <c r="N328" s="103">
        <f t="shared" si="130"/>
        <v>0</v>
      </c>
      <c r="O328" s="80">
        <f t="shared" si="130"/>
        <v>0</v>
      </c>
      <c r="P328" s="103">
        <f t="shared" si="130"/>
        <v>0</v>
      </c>
      <c r="Q328" s="103">
        <f t="shared" si="130"/>
        <v>0</v>
      </c>
      <c r="R328" s="103">
        <f t="shared" si="130"/>
        <v>0</v>
      </c>
      <c r="S328" s="103">
        <f t="shared" si="130"/>
        <v>0</v>
      </c>
      <c r="T328" s="103">
        <f t="shared" si="130"/>
        <v>0</v>
      </c>
      <c r="U328" s="103">
        <f t="shared" si="130"/>
        <v>0</v>
      </c>
      <c r="V328" s="103">
        <f t="shared" si="130"/>
        <v>0</v>
      </c>
      <c r="W328" s="103">
        <f t="shared" si="130"/>
        <v>0</v>
      </c>
      <c r="X328" s="103">
        <f t="shared" si="130"/>
        <v>0</v>
      </c>
      <c r="Y328" s="103">
        <f t="shared" si="130"/>
        <v>0</v>
      </c>
      <c r="Z328" s="103">
        <f t="shared" si="130"/>
        <v>0</v>
      </c>
      <c r="AA328" s="103">
        <f t="shared" si="130"/>
        <v>0</v>
      </c>
      <c r="AB328" s="103">
        <f t="shared" si="128"/>
        <v>0</v>
      </c>
      <c r="AC328" s="103"/>
      <c r="AD328" s="103"/>
      <c r="AE328" s="104">
        <f t="shared" si="129"/>
        <v>0</v>
      </c>
      <c r="AF328" s="12"/>
      <c r="AG328" s="12"/>
      <c r="AH328" s="12"/>
    </row>
    <row r="329" spans="1:34" s="39" customFormat="1" ht="79.5" customHeight="1" hidden="1">
      <c r="A329" s="76"/>
      <c r="B329" s="107"/>
      <c r="C329" s="107"/>
      <c r="D329" s="107"/>
      <c r="E329" s="1" t="s">
        <v>236</v>
      </c>
      <c r="F329" s="80">
        <f t="shared" si="96"/>
        <v>0</v>
      </c>
      <c r="G329" s="103"/>
      <c r="H329" s="103"/>
      <c r="I329" s="103"/>
      <c r="J329" s="103"/>
      <c r="K329" s="103"/>
      <c r="L329" s="103"/>
      <c r="M329" s="209"/>
      <c r="N329" s="103"/>
      <c r="O329" s="80"/>
      <c r="P329" s="103"/>
      <c r="Q329" s="103"/>
      <c r="R329" s="103"/>
      <c r="S329" s="103"/>
      <c r="T329" s="103"/>
      <c r="U329" s="103"/>
      <c r="V329" s="103"/>
      <c r="W329" s="103"/>
      <c r="X329" s="103"/>
      <c r="Y329" s="103"/>
      <c r="Z329" s="103"/>
      <c r="AA329" s="103"/>
      <c r="AB329" s="103">
        <f t="shared" si="128"/>
        <v>0</v>
      </c>
      <c r="AC329" s="103"/>
      <c r="AD329" s="103"/>
      <c r="AE329" s="104">
        <f t="shared" si="129"/>
        <v>0</v>
      </c>
      <c r="AF329" s="12"/>
      <c r="AG329" s="12"/>
      <c r="AH329" s="12"/>
    </row>
    <row r="330" spans="1:34" s="189" customFormat="1" ht="46.5" customHeight="1">
      <c r="A330" s="76"/>
      <c r="B330" s="101" t="s">
        <v>201</v>
      </c>
      <c r="C330" s="101" t="s">
        <v>202</v>
      </c>
      <c r="D330" s="101" t="s">
        <v>265</v>
      </c>
      <c r="E330" s="116" t="s">
        <v>203</v>
      </c>
      <c r="F330" s="80">
        <f t="shared" si="96"/>
        <v>0</v>
      </c>
      <c r="G330" s="172">
        <f>SUM(G331:G333)</f>
        <v>0</v>
      </c>
      <c r="H330" s="172">
        <f aca="true" t="shared" si="131" ref="H330:AA330">SUM(H331:H333)</f>
        <v>0</v>
      </c>
      <c r="I330" s="172">
        <f t="shared" si="131"/>
        <v>500</v>
      </c>
      <c r="J330" s="172">
        <f t="shared" si="131"/>
        <v>0</v>
      </c>
      <c r="K330" s="172">
        <f t="shared" si="131"/>
        <v>0</v>
      </c>
      <c r="L330" s="172">
        <f t="shared" si="131"/>
        <v>-16200</v>
      </c>
      <c r="M330" s="172">
        <f t="shared" si="131"/>
        <v>0</v>
      </c>
      <c r="N330" s="172">
        <f t="shared" si="131"/>
        <v>0</v>
      </c>
      <c r="O330" s="193">
        <f t="shared" si="131"/>
        <v>0</v>
      </c>
      <c r="P330" s="172">
        <f t="shared" si="131"/>
        <v>0</v>
      </c>
      <c r="Q330" s="172">
        <f t="shared" si="131"/>
        <v>0</v>
      </c>
      <c r="R330" s="172">
        <f t="shared" si="131"/>
        <v>0</v>
      </c>
      <c r="S330" s="172">
        <f t="shared" si="131"/>
        <v>0</v>
      </c>
      <c r="T330" s="172">
        <f t="shared" si="131"/>
        <v>0</v>
      </c>
      <c r="U330" s="172">
        <f t="shared" si="131"/>
        <v>0</v>
      </c>
      <c r="V330" s="172">
        <f t="shared" si="131"/>
        <v>-138513</v>
      </c>
      <c r="W330" s="172">
        <f t="shared" si="131"/>
        <v>0</v>
      </c>
      <c r="X330" s="172">
        <f t="shared" si="131"/>
        <v>0</v>
      </c>
      <c r="Y330" s="172">
        <f t="shared" si="131"/>
        <v>0</v>
      </c>
      <c r="Z330" s="172">
        <f t="shared" si="131"/>
        <v>0</v>
      </c>
      <c r="AA330" s="172">
        <f t="shared" si="131"/>
        <v>0</v>
      </c>
      <c r="AB330" s="172">
        <f t="shared" si="128"/>
        <v>-154213</v>
      </c>
      <c r="AC330" s="172"/>
      <c r="AD330" s="172"/>
      <c r="AE330" s="187">
        <f t="shared" si="129"/>
        <v>-154213</v>
      </c>
      <c r="AF330" s="188"/>
      <c r="AG330" s="188"/>
      <c r="AH330" s="188"/>
    </row>
    <row r="331" spans="1:34" s="39" customFormat="1" ht="76.5" customHeight="1">
      <c r="A331" s="76"/>
      <c r="B331" s="107"/>
      <c r="C331" s="107"/>
      <c r="D331" s="107"/>
      <c r="E331" s="1" t="s">
        <v>692</v>
      </c>
      <c r="F331" s="80">
        <f aca="true" t="shared" si="132" ref="F331:F366">SUM(G331:H331)</f>
        <v>0</v>
      </c>
      <c r="G331" s="103"/>
      <c r="H331" s="103"/>
      <c r="I331" s="103">
        <f>-1100+1600</f>
        <v>500</v>
      </c>
      <c r="J331" s="103"/>
      <c r="K331" s="103"/>
      <c r="L331" s="103">
        <f>-14600-1600</f>
        <v>-16200</v>
      </c>
      <c r="M331" s="209"/>
      <c r="N331" s="103"/>
      <c r="O331" s="80"/>
      <c r="P331" s="103"/>
      <c r="Q331" s="103"/>
      <c r="R331" s="103"/>
      <c r="S331" s="103"/>
      <c r="T331" s="103"/>
      <c r="U331" s="103"/>
      <c r="V331" s="103">
        <f>-37570-93900-2325-3071-3277-48370+50000</f>
        <v>-138513</v>
      </c>
      <c r="W331" s="103"/>
      <c r="X331" s="103"/>
      <c r="Y331" s="103"/>
      <c r="Z331" s="103"/>
      <c r="AA331" s="103"/>
      <c r="AB331" s="103">
        <f t="shared" si="128"/>
        <v>-154213</v>
      </c>
      <c r="AC331" s="103"/>
      <c r="AD331" s="103"/>
      <c r="AE331" s="104">
        <f t="shared" si="129"/>
        <v>-154213</v>
      </c>
      <c r="AF331" s="138"/>
      <c r="AG331" s="138"/>
      <c r="AH331" s="138"/>
    </row>
    <row r="332" spans="1:34" s="39" customFormat="1" ht="75" customHeight="1" hidden="1">
      <c r="A332" s="76"/>
      <c r="B332" s="107"/>
      <c r="C332" s="107"/>
      <c r="D332" s="107"/>
      <c r="E332" s="1" t="s">
        <v>612</v>
      </c>
      <c r="F332" s="80">
        <f t="shared" si="132"/>
        <v>0</v>
      </c>
      <c r="G332" s="103"/>
      <c r="H332" s="103"/>
      <c r="I332" s="103"/>
      <c r="J332" s="103"/>
      <c r="K332" s="103"/>
      <c r="L332" s="103"/>
      <c r="M332" s="209"/>
      <c r="N332" s="103"/>
      <c r="O332" s="80"/>
      <c r="P332" s="103"/>
      <c r="Q332" s="103"/>
      <c r="R332" s="103"/>
      <c r="S332" s="103"/>
      <c r="T332" s="103"/>
      <c r="U332" s="103"/>
      <c r="V332" s="103"/>
      <c r="W332" s="103"/>
      <c r="X332" s="103"/>
      <c r="Y332" s="103"/>
      <c r="Z332" s="103"/>
      <c r="AA332" s="103"/>
      <c r="AB332" s="103">
        <f t="shared" si="128"/>
        <v>0</v>
      </c>
      <c r="AC332" s="103"/>
      <c r="AD332" s="103"/>
      <c r="AE332" s="104">
        <f t="shared" si="129"/>
        <v>0</v>
      </c>
      <c r="AF332" s="12"/>
      <c r="AG332" s="12"/>
      <c r="AH332" s="12"/>
    </row>
    <row r="333" spans="1:34" s="39" customFormat="1" ht="75" customHeight="1" hidden="1">
      <c r="A333" s="76"/>
      <c r="B333" s="107"/>
      <c r="C333" s="107"/>
      <c r="D333" s="107"/>
      <c r="E333" s="1" t="s">
        <v>621</v>
      </c>
      <c r="F333" s="80">
        <f t="shared" si="132"/>
        <v>0</v>
      </c>
      <c r="G333" s="103"/>
      <c r="H333" s="103"/>
      <c r="I333" s="103"/>
      <c r="J333" s="103"/>
      <c r="K333" s="103"/>
      <c r="L333" s="103"/>
      <c r="M333" s="209"/>
      <c r="N333" s="103"/>
      <c r="O333" s="80"/>
      <c r="P333" s="103"/>
      <c r="Q333" s="103"/>
      <c r="R333" s="103"/>
      <c r="S333" s="103"/>
      <c r="T333" s="103"/>
      <c r="U333" s="103"/>
      <c r="V333" s="103"/>
      <c r="W333" s="103"/>
      <c r="X333" s="103"/>
      <c r="Y333" s="103"/>
      <c r="Z333" s="103"/>
      <c r="AA333" s="103"/>
      <c r="AB333" s="103">
        <f t="shared" si="128"/>
        <v>0</v>
      </c>
      <c r="AC333" s="103"/>
      <c r="AD333" s="103"/>
      <c r="AE333" s="104">
        <f t="shared" si="129"/>
        <v>0</v>
      </c>
      <c r="AF333" s="12"/>
      <c r="AG333" s="12"/>
      <c r="AH333" s="12"/>
    </row>
    <row r="334" spans="1:34" s="39" customFormat="1" ht="60.75" customHeight="1" hidden="1">
      <c r="A334" s="76"/>
      <c r="B334" s="101" t="s">
        <v>204</v>
      </c>
      <c r="C334" s="101" t="s">
        <v>205</v>
      </c>
      <c r="D334" s="101" t="s">
        <v>265</v>
      </c>
      <c r="E334" s="116" t="s">
        <v>536</v>
      </c>
      <c r="F334" s="80">
        <f t="shared" si="132"/>
        <v>0</v>
      </c>
      <c r="G334" s="103"/>
      <c r="H334" s="103"/>
      <c r="I334" s="103"/>
      <c r="J334" s="103"/>
      <c r="K334" s="103"/>
      <c r="L334" s="103"/>
      <c r="M334" s="209"/>
      <c r="N334" s="103"/>
      <c r="O334" s="80"/>
      <c r="P334" s="103"/>
      <c r="Q334" s="103"/>
      <c r="R334" s="103"/>
      <c r="S334" s="103"/>
      <c r="T334" s="103"/>
      <c r="U334" s="103"/>
      <c r="V334" s="103"/>
      <c r="W334" s="103"/>
      <c r="X334" s="103"/>
      <c r="Y334" s="103"/>
      <c r="Z334" s="103"/>
      <c r="AA334" s="103"/>
      <c r="AB334" s="103">
        <f t="shared" si="128"/>
        <v>0</v>
      </c>
      <c r="AC334" s="103"/>
      <c r="AD334" s="103"/>
      <c r="AE334" s="104">
        <f t="shared" si="129"/>
        <v>0</v>
      </c>
      <c r="AF334" s="123"/>
      <c r="AG334" s="123"/>
      <c r="AH334" s="123"/>
    </row>
    <row r="335" spans="1:34" s="39" customFormat="1" ht="44.25" customHeight="1">
      <c r="A335" s="76" t="s">
        <v>298</v>
      </c>
      <c r="B335" s="101" t="s">
        <v>198</v>
      </c>
      <c r="C335" s="101" t="s">
        <v>199</v>
      </c>
      <c r="D335" s="101" t="s">
        <v>299</v>
      </c>
      <c r="E335" s="116" t="s">
        <v>200</v>
      </c>
      <c r="F335" s="80">
        <f t="shared" si="132"/>
        <v>0</v>
      </c>
      <c r="G335" s="103">
        <f>G336</f>
        <v>0</v>
      </c>
      <c r="H335" s="103">
        <f aca="true" t="shared" si="133" ref="H335:AA335">H336</f>
        <v>0</v>
      </c>
      <c r="I335" s="103">
        <f t="shared" si="133"/>
        <v>0</v>
      </c>
      <c r="J335" s="103">
        <f t="shared" si="133"/>
        <v>0</v>
      </c>
      <c r="K335" s="103">
        <f t="shared" si="133"/>
        <v>0</v>
      </c>
      <c r="L335" s="103">
        <f t="shared" si="133"/>
        <v>-68085</v>
      </c>
      <c r="M335" s="103">
        <f t="shared" si="133"/>
        <v>0</v>
      </c>
      <c r="N335" s="103">
        <f t="shared" si="133"/>
        <v>0</v>
      </c>
      <c r="O335" s="80">
        <f t="shared" si="133"/>
        <v>0</v>
      </c>
      <c r="P335" s="103">
        <f t="shared" si="133"/>
        <v>0</v>
      </c>
      <c r="Q335" s="103">
        <f t="shared" si="133"/>
        <v>0</v>
      </c>
      <c r="R335" s="103">
        <f t="shared" si="133"/>
        <v>0</v>
      </c>
      <c r="S335" s="103">
        <f t="shared" si="133"/>
        <v>0</v>
      </c>
      <c r="T335" s="103">
        <f t="shared" si="133"/>
        <v>0</v>
      </c>
      <c r="U335" s="103">
        <f t="shared" si="133"/>
        <v>0</v>
      </c>
      <c r="V335" s="103">
        <f t="shared" si="133"/>
        <v>0</v>
      </c>
      <c r="W335" s="103">
        <f t="shared" si="133"/>
        <v>0</v>
      </c>
      <c r="X335" s="103">
        <f t="shared" si="133"/>
        <v>0</v>
      </c>
      <c r="Y335" s="103">
        <f t="shared" si="133"/>
        <v>0</v>
      </c>
      <c r="Z335" s="103">
        <f t="shared" si="133"/>
        <v>0</v>
      </c>
      <c r="AA335" s="103">
        <f t="shared" si="133"/>
        <v>0</v>
      </c>
      <c r="AB335" s="103">
        <f t="shared" si="128"/>
        <v>-68085</v>
      </c>
      <c r="AC335" s="103">
        <f>AC336</f>
        <v>0</v>
      </c>
      <c r="AD335" s="103">
        <f>AD336</f>
        <v>0</v>
      </c>
      <c r="AE335" s="104">
        <f t="shared" si="129"/>
        <v>-68085</v>
      </c>
      <c r="AF335" s="38"/>
      <c r="AG335" s="38"/>
      <c r="AH335" s="38"/>
    </row>
    <row r="336" spans="1:34" s="39" customFormat="1" ht="87" customHeight="1">
      <c r="A336" s="140" t="s">
        <v>298</v>
      </c>
      <c r="B336" s="107"/>
      <c r="C336" s="107"/>
      <c r="D336" s="107"/>
      <c r="E336" s="221" t="s">
        <v>228</v>
      </c>
      <c r="F336" s="80">
        <f t="shared" si="132"/>
        <v>0</v>
      </c>
      <c r="G336" s="103"/>
      <c r="H336" s="103"/>
      <c r="I336" s="103"/>
      <c r="J336" s="103"/>
      <c r="K336" s="103"/>
      <c r="L336" s="103">
        <v>-68085</v>
      </c>
      <c r="M336" s="209"/>
      <c r="N336" s="103"/>
      <c r="O336" s="80"/>
      <c r="P336" s="103"/>
      <c r="Q336" s="103"/>
      <c r="R336" s="103"/>
      <c r="S336" s="103"/>
      <c r="T336" s="103"/>
      <c r="U336" s="103"/>
      <c r="V336" s="103"/>
      <c r="W336" s="103"/>
      <c r="X336" s="103"/>
      <c r="Y336" s="103"/>
      <c r="Z336" s="103"/>
      <c r="AA336" s="103"/>
      <c r="AB336" s="103">
        <f t="shared" si="128"/>
        <v>-68085</v>
      </c>
      <c r="AC336" s="103"/>
      <c r="AD336" s="103"/>
      <c r="AE336" s="104">
        <f t="shared" si="129"/>
        <v>-68085</v>
      </c>
      <c r="AF336" s="123"/>
      <c r="AG336" s="123"/>
      <c r="AH336" s="123"/>
    </row>
    <row r="337" spans="1:34" s="39" customFormat="1" ht="76.5" customHeight="1">
      <c r="A337" s="76" t="s">
        <v>319</v>
      </c>
      <c r="B337" s="101" t="s">
        <v>532</v>
      </c>
      <c r="C337" s="101" t="s">
        <v>533</v>
      </c>
      <c r="D337" s="101" t="s">
        <v>263</v>
      </c>
      <c r="E337" s="129" t="s">
        <v>534</v>
      </c>
      <c r="F337" s="80">
        <f t="shared" si="132"/>
        <v>0</v>
      </c>
      <c r="G337" s="103">
        <f aca="true" t="shared" si="134" ref="G337:V337">SUM(G338:G342)</f>
        <v>0</v>
      </c>
      <c r="H337" s="103">
        <f t="shared" si="134"/>
        <v>0</v>
      </c>
      <c r="I337" s="103">
        <f t="shared" si="134"/>
        <v>0</v>
      </c>
      <c r="J337" s="103">
        <f t="shared" si="134"/>
        <v>0</v>
      </c>
      <c r="K337" s="103">
        <f t="shared" si="134"/>
        <v>0</v>
      </c>
      <c r="L337" s="103">
        <f t="shared" si="134"/>
        <v>0</v>
      </c>
      <c r="M337" s="103">
        <f t="shared" si="134"/>
        <v>0</v>
      </c>
      <c r="N337" s="103">
        <f t="shared" si="134"/>
        <v>0</v>
      </c>
      <c r="O337" s="80">
        <f t="shared" si="134"/>
        <v>0</v>
      </c>
      <c r="P337" s="103">
        <f t="shared" si="134"/>
        <v>0</v>
      </c>
      <c r="Q337" s="103">
        <f t="shared" si="134"/>
        <v>0</v>
      </c>
      <c r="R337" s="103">
        <f t="shared" si="134"/>
        <v>0</v>
      </c>
      <c r="S337" s="103">
        <f t="shared" si="134"/>
        <v>0</v>
      </c>
      <c r="T337" s="103">
        <f t="shared" si="134"/>
        <v>0</v>
      </c>
      <c r="U337" s="103">
        <f t="shared" si="134"/>
        <v>0</v>
      </c>
      <c r="V337" s="103">
        <f t="shared" si="134"/>
        <v>0</v>
      </c>
      <c r="W337" s="103">
        <f>SUM(W338:W342)</f>
        <v>8340</v>
      </c>
      <c r="X337" s="103">
        <f>SUM(X338:X342)</f>
        <v>0</v>
      </c>
      <c r="Y337" s="103">
        <f>SUM(Y338:Y342)</f>
        <v>0</v>
      </c>
      <c r="Z337" s="103">
        <f>SUM(Z338:Z342)</f>
        <v>0</v>
      </c>
      <c r="AA337" s="103">
        <f>SUM(AA338:AA342)</f>
        <v>0</v>
      </c>
      <c r="AB337" s="103">
        <f>SUM(G337:AA337)-O337</f>
        <v>8340</v>
      </c>
      <c r="AC337" s="103">
        <f>SUM(AC338:AC343)</f>
        <v>0</v>
      </c>
      <c r="AD337" s="103">
        <f>SUM(AD343:AD343)</f>
        <v>0</v>
      </c>
      <c r="AE337" s="104">
        <f>SUM(AB337:AD337)</f>
        <v>8340</v>
      </c>
      <c r="AF337" s="123"/>
      <c r="AG337" s="123"/>
      <c r="AH337" s="123"/>
    </row>
    <row r="338" spans="1:34" s="39" customFormat="1" ht="177.75" customHeight="1" hidden="1">
      <c r="A338" s="76"/>
      <c r="B338" s="101"/>
      <c r="C338" s="101"/>
      <c r="D338" s="101"/>
      <c r="E338" s="228" t="s">
        <v>665</v>
      </c>
      <c r="F338" s="80"/>
      <c r="G338" s="103"/>
      <c r="H338" s="103"/>
      <c r="I338" s="103"/>
      <c r="J338" s="103"/>
      <c r="K338" s="103"/>
      <c r="L338" s="103"/>
      <c r="M338" s="103"/>
      <c r="N338" s="103"/>
      <c r="O338" s="80"/>
      <c r="P338" s="103"/>
      <c r="Q338" s="103"/>
      <c r="R338" s="103"/>
      <c r="S338" s="103"/>
      <c r="T338" s="103"/>
      <c r="U338" s="103"/>
      <c r="V338" s="103"/>
      <c r="W338" s="103"/>
      <c r="X338" s="103"/>
      <c r="Y338" s="103"/>
      <c r="Z338" s="103"/>
      <c r="AA338" s="103"/>
      <c r="AB338" s="103">
        <f>SUM(G338:AA338)-O338</f>
        <v>0</v>
      </c>
      <c r="AC338" s="103"/>
      <c r="AD338" s="103">
        <f>SUM(AD344:AD344)</f>
        <v>0</v>
      </c>
      <c r="AE338" s="104">
        <f>SUM(AB338:AD338)</f>
        <v>0</v>
      </c>
      <c r="AF338" s="123"/>
      <c r="AG338" s="123"/>
      <c r="AH338" s="123"/>
    </row>
    <row r="339" spans="1:34" s="39" customFormat="1" ht="159" customHeight="1">
      <c r="A339" s="76"/>
      <c r="B339" s="101"/>
      <c r="C339" s="101"/>
      <c r="D339" s="101"/>
      <c r="E339" s="228" t="s">
        <v>747</v>
      </c>
      <c r="F339" s="80"/>
      <c r="G339" s="103"/>
      <c r="H339" s="103"/>
      <c r="I339" s="103"/>
      <c r="J339" s="103"/>
      <c r="K339" s="103"/>
      <c r="L339" s="103"/>
      <c r="M339" s="103"/>
      <c r="N339" s="103"/>
      <c r="O339" s="80"/>
      <c r="P339" s="103"/>
      <c r="Q339" s="103"/>
      <c r="R339" s="103"/>
      <c r="S339" s="103"/>
      <c r="T339" s="103"/>
      <c r="U339" s="103"/>
      <c r="V339" s="103"/>
      <c r="W339" s="103">
        <v>8340</v>
      </c>
      <c r="X339" s="103"/>
      <c r="Y339" s="103"/>
      <c r="Z339" s="103"/>
      <c r="AA339" s="103"/>
      <c r="AB339" s="103">
        <f>SUM(G339:AA339)-O339</f>
        <v>8340</v>
      </c>
      <c r="AC339" s="103"/>
      <c r="AD339" s="103"/>
      <c r="AE339" s="104">
        <f>SUM(AB339:AD339)</f>
        <v>8340</v>
      </c>
      <c r="AF339" s="123"/>
      <c r="AG339" s="123"/>
      <c r="AH339" s="123"/>
    </row>
    <row r="340" spans="1:34" s="39" customFormat="1" ht="177.75" customHeight="1" hidden="1">
      <c r="A340" s="76"/>
      <c r="B340" s="101"/>
      <c r="C340" s="101"/>
      <c r="D340" s="101"/>
      <c r="E340" s="228" t="s">
        <v>662</v>
      </c>
      <c r="F340" s="80"/>
      <c r="G340" s="103"/>
      <c r="H340" s="103"/>
      <c r="I340" s="103"/>
      <c r="J340" s="103"/>
      <c r="K340" s="103"/>
      <c r="L340" s="103"/>
      <c r="M340" s="103"/>
      <c r="N340" s="103"/>
      <c r="O340" s="80"/>
      <c r="P340" s="103"/>
      <c r="Q340" s="103"/>
      <c r="R340" s="103"/>
      <c r="S340" s="103"/>
      <c r="T340" s="103"/>
      <c r="U340" s="103"/>
      <c r="V340" s="103"/>
      <c r="W340" s="103"/>
      <c r="X340" s="103"/>
      <c r="Y340" s="103"/>
      <c r="Z340" s="103"/>
      <c r="AA340" s="103"/>
      <c r="AB340" s="103">
        <f t="shared" si="128"/>
        <v>0</v>
      </c>
      <c r="AC340" s="103">
        <f>SUM(AC345:AC345)</f>
        <v>0</v>
      </c>
      <c r="AD340" s="103">
        <f>SUM(AD345:AD345)</f>
        <v>0</v>
      </c>
      <c r="AE340" s="104">
        <f t="shared" si="129"/>
        <v>0</v>
      </c>
      <c r="AF340" s="123"/>
      <c r="AG340" s="123"/>
      <c r="AH340" s="123"/>
    </row>
    <row r="341" spans="1:34" s="39" customFormat="1" ht="180" customHeight="1" hidden="1">
      <c r="A341" s="76"/>
      <c r="B341" s="101"/>
      <c r="C341" s="101"/>
      <c r="D341" s="101"/>
      <c r="E341" s="228" t="s">
        <v>639</v>
      </c>
      <c r="F341" s="80"/>
      <c r="G341" s="103"/>
      <c r="H341" s="103"/>
      <c r="I341" s="103"/>
      <c r="J341" s="103"/>
      <c r="K341" s="103"/>
      <c r="L341" s="103"/>
      <c r="M341" s="103"/>
      <c r="N341" s="103"/>
      <c r="O341" s="80"/>
      <c r="P341" s="103"/>
      <c r="Q341" s="103"/>
      <c r="R341" s="103"/>
      <c r="S341" s="103"/>
      <c r="T341" s="103"/>
      <c r="U341" s="103"/>
      <c r="V341" s="103"/>
      <c r="W341" s="103"/>
      <c r="X341" s="103"/>
      <c r="Y341" s="103"/>
      <c r="Z341" s="103"/>
      <c r="AA341" s="103"/>
      <c r="AB341" s="103">
        <f t="shared" si="128"/>
        <v>0</v>
      </c>
      <c r="AC341" s="103">
        <f>SUM(AC345:AC345)</f>
        <v>0</v>
      </c>
      <c r="AD341" s="103">
        <f>SUM(AD345:AD345)</f>
        <v>0</v>
      </c>
      <c r="AE341" s="104">
        <f t="shared" si="129"/>
        <v>0</v>
      </c>
      <c r="AF341" s="123"/>
      <c r="AG341" s="123"/>
      <c r="AH341" s="123"/>
    </row>
    <row r="342" spans="1:34" s="39" customFormat="1" ht="219.75" customHeight="1" hidden="1">
      <c r="A342" s="76"/>
      <c r="B342" s="101"/>
      <c r="C342" s="101"/>
      <c r="D342" s="101"/>
      <c r="E342" s="228" t="s">
        <v>644</v>
      </c>
      <c r="F342" s="80"/>
      <c r="G342" s="103"/>
      <c r="H342" s="103"/>
      <c r="I342" s="103"/>
      <c r="J342" s="103"/>
      <c r="K342" s="103"/>
      <c r="L342" s="103"/>
      <c r="M342" s="103"/>
      <c r="N342" s="103"/>
      <c r="O342" s="80"/>
      <c r="P342" s="103"/>
      <c r="Q342" s="103"/>
      <c r="R342" s="103"/>
      <c r="S342" s="103"/>
      <c r="T342" s="103"/>
      <c r="U342" s="103"/>
      <c r="V342" s="103"/>
      <c r="W342" s="103"/>
      <c r="X342" s="103"/>
      <c r="Y342" s="103"/>
      <c r="Z342" s="103"/>
      <c r="AA342" s="103"/>
      <c r="AB342" s="103">
        <f t="shared" si="128"/>
        <v>0</v>
      </c>
      <c r="AC342" s="103">
        <f>SUM(AC346:AC346)</f>
        <v>0</v>
      </c>
      <c r="AD342" s="103">
        <f>SUM(AD346:AD346)</f>
        <v>0</v>
      </c>
      <c r="AE342" s="104">
        <f t="shared" si="129"/>
        <v>0</v>
      </c>
      <c r="AF342" s="123"/>
      <c r="AG342" s="123"/>
      <c r="AH342" s="123"/>
    </row>
    <row r="343" spans="1:34" s="39" customFormat="1" ht="9.75" customHeight="1" hidden="1">
      <c r="A343" s="140"/>
      <c r="B343" s="107"/>
      <c r="C343" s="107"/>
      <c r="D343" s="107"/>
      <c r="E343" s="228" t="s">
        <v>679</v>
      </c>
      <c r="F343" s="80">
        <f t="shared" si="132"/>
        <v>0</v>
      </c>
      <c r="G343" s="103"/>
      <c r="H343" s="103"/>
      <c r="I343" s="103"/>
      <c r="J343" s="103"/>
      <c r="K343" s="103"/>
      <c r="L343" s="103"/>
      <c r="M343" s="209"/>
      <c r="N343" s="103"/>
      <c r="O343" s="80">
        <f>SUM(P343:R343)</f>
        <v>0</v>
      </c>
      <c r="P343" s="103"/>
      <c r="Q343" s="103"/>
      <c r="R343" s="103"/>
      <c r="S343" s="103"/>
      <c r="T343" s="103"/>
      <c r="U343" s="103"/>
      <c r="V343" s="103"/>
      <c r="W343" s="103"/>
      <c r="X343" s="103"/>
      <c r="Y343" s="103"/>
      <c r="Z343" s="103"/>
      <c r="AA343" s="103"/>
      <c r="AB343" s="103">
        <f t="shared" si="128"/>
        <v>0</v>
      </c>
      <c r="AC343" s="103"/>
      <c r="AD343" s="103"/>
      <c r="AE343" s="104">
        <f t="shared" si="129"/>
        <v>0</v>
      </c>
      <c r="AF343" s="138"/>
      <c r="AG343" s="138"/>
      <c r="AH343" s="138"/>
    </row>
    <row r="344" spans="1:34" s="39" customFormat="1" ht="43.5" customHeight="1">
      <c r="A344" s="136"/>
      <c r="B344" s="77"/>
      <c r="C344" s="77"/>
      <c r="D344" s="77"/>
      <c r="E344" s="233" t="s">
        <v>359</v>
      </c>
      <c r="F344" s="80">
        <f t="shared" si="132"/>
        <v>279960</v>
      </c>
      <c r="G344" s="167">
        <f>G325+G335+G334+G337+G330+G328</f>
        <v>272112</v>
      </c>
      <c r="H344" s="167">
        <f aca="true" t="shared" si="135" ref="H344:AE344">H325+H335+H334+H337+H330+H328</f>
        <v>7848</v>
      </c>
      <c r="I344" s="167">
        <f t="shared" si="135"/>
        <v>500</v>
      </c>
      <c r="J344" s="167">
        <f t="shared" si="135"/>
        <v>0</v>
      </c>
      <c r="K344" s="167">
        <f t="shared" si="135"/>
        <v>0</v>
      </c>
      <c r="L344" s="167">
        <f t="shared" si="135"/>
        <v>-84285</v>
      </c>
      <c r="M344" s="167">
        <f t="shared" si="135"/>
        <v>0</v>
      </c>
      <c r="N344" s="167">
        <f t="shared" si="135"/>
        <v>0</v>
      </c>
      <c r="O344" s="84">
        <f t="shared" si="135"/>
        <v>0</v>
      </c>
      <c r="P344" s="167">
        <f t="shared" si="135"/>
        <v>0</v>
      </c>
      <c r="Q344" s="167">
        <f t="shared" si="135"/>
        <v>0</v>
      </c>
      <c r="R344" s="167">
        <f t="shared" si="135"/>
        <v>0</v>
      </c>
      <c r="S344" s="167">
        <f t="shared" si="135"/>
        <v>0</v>
      </c>
      <c r="T344" s="167">
        <f t="shared" si="135"/>
        <v>0</v>
      </c>
      <c r="U344" s="167">
        <f t="shared" si="135"/>
        <v>0</v>
      </c>
      <c r="V344" s="167">
        <f t="shared" si="135"/>
        <v>-138513</v>
      </c>
      <c r="W344" s="167">
        <f t="shared" si="135"/>
        <v>8340</v>
      </c>
      <c r="X344" s="167">
        <f t="shared" si="135"/>
        <v>0</v>
      </c>
      <c r="Y344" s="167">
        <f t="shared" si="135"/>
        <v>0</v>
      </c>
      <c r="Z344" s="167">
        <f t="shared" si="135"/>
        <v>0</v>
      </c>
      <c r="AA344" s="167">
        <f t="shared" si="135"/>
        <v>0</v>
      </c>
      <c r="AB344" s="167">
        <f t="shared" si="135"/>
        <v>66002</v>
      </c>
      <c r="AC344" s="167">
        <f t="shared" si="135"/>
        <v>0</v>
      </c>
      <c r="AD344" s="167">
        <f t="shared" si="135"/>
        <v>0</v>
      </c>
      <c r="AE344" s="104">
        <f t="shared" si="135"/>
        <v>66002</v>
      </c>
      <c r="AF344" s="204"/>
      <c r="AG344" s="204"/>
      <c r="AH344" s="204"/>
    </row>
    <row r="345" spans="1:34" s="39" customFormat="1" ht="42" customHeight="1">
      <c r="A345" s="136"/>
      <c r="B345" s="77" t="s">
        <v>105</v>
      </c>
      <c r="C345" s="77"/>
      <c r="D345" s="77"/>
      <c r="E345" s="134" t="s">
        <v>556</v>
      </c>
      <c r="F345" s="80">
        <f t="shared" si="132"/>
        <v>0</v>
      </c>
      <c r="G345" s="103"/>
      <c r="H345" s="103"/>
      <c r="I345" s="103"/>
      <c r="J345" s="103"/>
      <c r="K345" s="103"/>
      <c r="L345" s="103"/>
      <c r="M345" s="209"/>
      <c r="N345" s="103"/>
      <c r="O345" s="80"/>
      <c r="P345" s="103"/>
      <c r="Q345" s="103"/>
      <c r="R345" s="103"/>
      <c r="S345" s="103"/>
      <c r="T345" s="103"/>
      <c r="U345" s="103"/>
      <c r="V345" s="103"/>
      <c r="W345" s="103"/>
      <c r="X345" s="103"/>
      <c r="Y345" s="103"/>
      <c r="Z345" s="103"/>
      <c r="AA345" s="103"/>
      <c r="AB345" s="103"/>
      <c r="AC345" s="103"/>
      <c r="AD345" s="103"/>
      <c r="AE345" s="104"/>
      <c r="AF345" s="38"/>
      <c r="AG345" s="38"/>
      <c r="AH345" s="38"/>
    </row>
    <row r="346" spans="1:34" s="39" customFormat="1" ht="52.5" customHeight="1">
      <c r="A346" s="76"/>
      <c r="B346" s="93" t="s">
        <v>106</v>
      </c>
      <c r="C346" s="101"/>
      <c r="D346" s="101"/>
      <c r="E346" s="102" t="s">
        <v>748</v>
      </c>
      <c r="F346" s="80">
        <f t="shared" si="132"/>
        <v>0</v>
      </c>
      <c r="G346" s="103"/>
      <c r="H346" s="103"/>
      <c r="I346" s="103"/>
      <c r="J346" s="103"/>
      <c r="K346" s="103"/>
      <c r="L346" s="103"/>
      <c r="M346" s="209"/>
      <c r="N346" s="103"/>
      <c r="O346" s="80"/>
      <c r="P346" s="103"/>
      <c r="Q346" s="103"/>
      <c r="R346" s="103"/>
      <c r="S346" s="103"/>
      <c r="T346" s="103"/>
      <c r="U346" s="103"/>
      <c r="V346" s="103"/>
      <c r="W346" s="103"/>
      <c r="X346" s="103"/>
      <c r="Y346" s="103"/>
      <c r="Z346" s="103"/>
      <c r="AA346" s="103"/>
      <c r="AB346" s="103"/>
      <c r="AC346" s="103"/>
      <c r="AD346" s="103"/>
      <c r="AE346" s="104"/>
      <c r="AF346" s="38"/>
      <c r="AG346" s="38"/>
      <c r="AH346" s="38"/>
    </row>
    <row r="347" spans="1:34" s="39" customFormat="1" ht="60" customHeight="1">
      <c r="A347" s="76" t="s">
        <v>260</v>
      </c>
      <c r="B347" s="101" t="s">
        <v>107</v>
      </c>
      <c r="C347" s="101" t="s">
        <v>317</v>
      </c>
      <c r="D347" s="101" t="s">
        <v>261</v>
      </c>
      <c r="E347" s="116" t="s">
        <v>454</v>
      </c>
      <c r="F347" s="80">
        <f t="shared" si="132"/>
        <v>-2356066</v>
      </c>
      <c r="G347" s="103">
        <f>SUM(G348:G350)</f>
        <v>-1918433</v>
      </c>
      <c r="H347" s="103">
        <f aca="true" t="shared" si="136" ref="H347:W347">SUM(H348:H350)</f>
        <v>-437633</v>
      </c>
      <c r="I347" s="103">
        <f t="shared" si="136"/>
        <v>11000</v>
      </c>
      <c r="J347" s="103">
        <f t="shared" si="136"/>
        <v>0</v>
      </c>
      <c r="K347" s="103">
        <f t="shared" si="136"/>
        <v>0</v>
      </c>
      <c r="L347" s="103">
        <f t="shared" si="136"/>
        <v>0</v>
      </c>
      <c r="M347" s="103">
        <f t="shared" si="136"/>
        <v>-11000</v>
      </c>
      <c r="N347" s="103">
        <f t="shared" si="136"/>
        <v>0</v>
      </c>
      <c r="O347" s="80">
        <f t="shared" si="136"/>
        <v>0</v>
      </c>
      <c r="P347" s="103">
        <f t="shared" si="136"/>
        <v>0</v>
      </c>
      <c r="Q347" s="103">
        <f t="shared" si="136"/>
        <v>0</v>
      </c>
      <c r="R347" s="103">
        <f t="shared" si="136"/>
        <v>0</v>
      </c>
      <c r="S347" s="103">
        <f t="shared" si="136"/>
        <v>0</v>
      </c>
      <c r="T347" s="103">
        <f t="shared" si="136"/>
        <v>0</v>
      </c>
      <c r="U347" s="103">
        <f t="shared" si="136"/>
        <v>0</v>
      </c>
      <c r="V347" s="103">
        <f t="shared" si="136"/>
        <v>0</v>
      </c>
      <c r="W347" s="103">
        <f t="shared" si="136"/>
        <v>0</v>
      </c>
      <c r="X347" s="103">
        <f>SUM(X348:X350)</f>
        <v>0</v>
      </c>
      <c r="Y347" s="103">
        <f>SUM(Y348:Y350)</f>
        <v>0</v>
      </c>
      <c r="Z347" s="103">
        <f>SUM(Z348:Z350)</f>
        <v>0</v>
      </c>
      <c r="AA347" s="103">
        <f>SUM(AA348:AA350)</f>
        <v>0</v>
      </c>
      <c r="AB347" s="103">
        <f aca="true" t="shared" si="137" ref="AB347:AB364">SUM(G347:AA347)-O347</f>
        <v>-2356066</v>
      </c>
      <c r="AC347" s="103"/>
      <c r="AD347" s="103"/>
      <c r="AE347" s="104">
        <f aca="true" t="shared" si="138" ref="AE347:AE361">SUM(AB347:AD347)</f>
        <v>-2356066</v>
      </c>
      <c r="AF347" s="208"/>
      <c r="AG347" s="208"/>
      <c r="AH347" s="208"/>
    </row>
    <row r="348" spans="1:36" s="39" customFormat="1" ht="52.5" customHeight="1">
      <c r="A348" s="76"/>
      <c r="B348" s="107"/>
      <c r="C348" s="107"/>
      <c r="D348" s="107"/>
      <c r="E348" s="1" t="s">
        <v>108</v>
      </c>
      <c r="F348" s="80">
        <f t="shared" si="132"/>
        <v>-2356066</v>
      </c>
      <c r="G348" s="103">
        <v>-1918433</v>
      </c>
      <c r="H348" s="103">
        <v>-437633</v>
      </c>
      <c r="I348" s="103">
        <v>11000</v>
      </c>
      <c r="J348" s="103"/>
      <c r="K348" s="103"/>
      <c r="L348" s="103"/>
      <c r="M348" s="209">
        <v>-11000</v>
      </c>
      <c r="N348" s="103"/>
      <c r="O348" s="80"/>
      <c r="P348" s="103"/>
      <c r="Q348" s="103"/>
      <c r="R348" s="103"/>
      <c r="S348" s="103"/>
      <c r="T348" s="103"/>
      <c r="U348" s="103"/>
      <c r="V348" s="103"/>
      <c r="W348" s="103"/>
      <c r="X348" s="103"/>
      <c r="Y348" s="103"/>
      <c r="Z348" s="103"/>
      <c r="AA348" s="103"/>
      <c r="AB348" s="103">
        <f t="shared" si="137"/>
        <v>-2356066</v>
      </c>
      <c r="AC348" s="103"/>
      <c r="AD348" s="103"/>
      <c r="AE348" s="104">
        <f>SUM(AB348:AD348)</f>
        <v>-2356066</v>
      </c>
      <c r="AF348" s="123"/>
      <c r="AG348" s="123"/>
      <c r="AH348" s="123"/>
      <c r="AI348" s="208"/>
      <c r="AJ348" s="208"/>
    </row>
    <row r="349" spans="1:36" s="39" customFormat="1" ht="138" customHeight="1" hidden="1">
      <c r="A349" s="76"/>
      <c r="B349" s="107"/>
      <c r="C349" s="107"/>
      <c r="D349" s="107"/>
      <c r="E349" s="1" t="s">
        <v>663</v>
      </c>
      <c r="F349" s="80">
        <f t="shared" si="132"/>
        <v>0</v>
      </c>
      <c r="G349" s="103"/>
      <c r="H349" s="103"/>
      <c r="I349" s="103"/>
      <c r="J349" s="103"/>
      <c r="K349" s="103"/>
      <c r="L349" s="103"/>
      <c r="M349" s="209"/>
      <c r="N349" s="103"/>
      <c r="O349" s="80"/>
      <c r="P349" s="103"/>
      <c r="Q349" s="103"/>
      <c r="R349" s="103"/>
      <c r="S349" s="103"/>
      <c r="T349" s="103"/>
      <c r="U349" s="103"/>
      <c r="V349" s="103"/>
      <c r="W349" s="103"/>
      <c r="X349" s="103"/>
      <c r="Y349" s="103"/>
      <c r="Z349" s="103"/>
      <c r="AA349" s="103"/>
      <c r="AB349" s="103">
        <f>SUM(G349:AA349)-O349</f>
        <v>0</v>
      </c>
      <c r="AC349" s="103"/>
      <c r="AD349" s="103"/>
      <c r="AE349" s="104">
        <f>SUM(AB349:AD349)</f>
        <v>0</v>
      </c>
      <c r="AF349" s="208"/>
      <c r="AG349" s="208"/>
      <c r="AH349" s="208"/>
      <c r="AI349" s="208"/>
      <c r="AJ349" s="208"/>
    </row>
    <row r="350" spans="1:36" s="39" customFormat="1" ht="75.75" customHeight="1" hidden="1">
      <c r="A350" s="76"/>
      <c r="B350" s="107"/>
      <c r="C350" s="107"/>
      <c r="D350" s="107"/>
      <c r="E350" s="1" t="s">
        <v>638</v>
      </c>
      <c r="F350" s="80">
        <f t="shared" si="132"/>
        <v>0</v>
      </c>
      <c r="G350" s="103"/>
      <c r="H350" s="103"/>
      <c r="I350" s="103"/>
      <c r="J350" s="103"/>
      <c r="K350" s="103"/>
      <c r="L350" s="103"/>
      <c r="M350" s="209"/>
      <c r="N350" s="103"/>
      <c r="O350" s="80"/>
      <c r="P350" s="103"/>
      <c r="Q350" s="103"/>
      <c r="R350" s="103"/>
      <c r="S350" s="103"/>
      <c r="T350" s="103"/>
      <c r="U350" s="103"/>
      <c r="V350" s="103"/>
      <c r="W350" s="103"/>
      <c r="X350" s="103"/>
      <c r="Y350" s="103"/>
      <c r="Z350" s="103"/>
      <c r="AA350" s="103"/>
      <c r="AB350" s="103">
        <f t="shared" si="137"/>
        <v>0</v>
      </c>
      <c r="AC350" s="103"/>
      <c r="AD350" s="103"/>
      <c r="AE350" s="104">
        <f>SUM(AB350:AD350)</f>
        <v>0</v>
      </c>
      <c r="AF350" s="123"/>
      <c r="AG350" s="123"/>
      <c r="AH350" s="123"/>
      <c r="AI350" s="208"/>
      <c r="AJ350" s="208"/>
    </row>
    <row r="351" spans="1:36" s="39" customFormat="1" ht="31.5" customHeight="1" hidden="1">
      <c r="A351" s="76"/>
      <c r="B351" s="101" t="s">
        <v>561</v>
      </c>
      <c r="C351" s="101" t="s">
        <v>318</v>
      </c>
      <c r="D351" s="101" t="s">
        <v>285</v>
      </c>
      <c r="E351" s="116" t="s">
        <v>458</v>
      </c>
      <c r="F351" s="80">
        <f t="shared" si="132"/>
        <v>0</v>
      </c>
      <c r="G351" s="103">
        <f aca="true" t="shared" si="139" ref="G351:AA351">G352</f>
        <v>0</v>
      </c>
      <c r="H351" s="103">
        <f t="shared" si="139"/>
        <v>0</v>
      </c>
      <c r="I351" s="103">
        <f t="shared" si="139"/>
        <v>0</v>
      </c>
      <c r="J351" s="103">
        <f t="shared" si="139"/>
        <v>0</v>
      </c>
      <c r="K351" s="103">
        <f t="shared" si="139"/>
        <v>0</v>
      </c>
      <c r="L351" s="103">
        <f t="shared" si="139"/>
        <v>0</v>
      </c>
      <c r="M351" s="103">
        <f t="shared" si="139"/>
        <v>0</v>
      </c>
      <c r="N351" s="103">
        <f t="shared" si="139"/>
        <v>0</v>
      </c>
      <c r="O351" s="80">
        <f t="shared" si="139"/>
        <v>0</v>
      </c>
      <c r="P351" s="103">
        <f t="shared" si="139"/>
        <v>0</v>
      </c>
      <c r="Q351" s="103">
        <f t="shared" si="139"/>
        <v>0</v>
      </c>
      <c r="R351" s="103">
        <f t="shared" si="139"/>
        <v>0</v>
      </c>
      <c r="S351" s="103">
        <f t="shared" si="139"/>
        <v>0</v>
      </c>
      <c r="T351" s="103">
        <f t="shared" si="139"/>
        <v>0</v>
      </c>
      <c r="U351" s="103">
        <f t="shared" si="139"/>
        <v>0</v>
      </c>
      <c r="V351" s="103">
        <f t="shared" si="139"/>
        <v>0</v>
      </c>
      <c r="W351" s="103">
        <f t="shared" si="139"/>
        <v>0</v>
      </c>
      <c r="X351" s="103">
        <f t="shared" si="139"/>
        <v>0</v>
      </c>
      <c r="Y351" s="103">
        <f t="shared" si="139"/>
        <v>0</v>
      </c>
      <c r="Z351" s="103">
        <f t="shared" si="139"/>
        <v>0</v>
      </c>
      <c r="AA351" s="103">
        <f t="shared" si="139"/>
        <v>0</v>
      </c>
      <c r="AB351" s="103">
        <f t="shared" si="137"/>
        <v>0</v>
      </c>
      <c r="AC351" s="103"/>
      <c r="AD351" s="103"/>
      <c r="AE351" s="104">
        <f t="shared" si="138"/>
        <v>0</v>
      </c>
      <c r="AF351" s="208"/>
      <c r="AG351" s="208"/>
      <c r="AH351" s="208"/>
      <c r="AI351" s="208"/>
      <c r="AJ351" s="208"/>
    </row>
    <row r="352" spans="1:36" s="39" customFormat="1" ht="52.5" customHeight="1" hidden="1">
      <c r="A352" s="76"/>
      <c r="B352" s="101"/>
      <c r="C352" s="101"/>
      <c r="D352" s="101"/>
      <c r="E352" s="1" t="s">
        <v>562</v>
      </c>
      <c r="F352" s="80">
        <f t="shared" si="132"/>
        <v>0</v>
      </c>
      <c r="G352" s="103"/>
      <c r="H352" s="103"/>
      <c r="I352" s="103"/>
      <c r="J352" s="103"/>
      <c r="K352" s="103"/>
      <c r="L352" s="103"/>
      <c r="M352" s="209"/>
      <c r="N352" s="103"/>
      <c r="O352" s="80"/>
      <c r="P352" s="103"/>
      <c r="Q352" s="103"/>
      <c r="R352" s="103"/>
      <c r="S352" s="103"/>
      <c r="T352" s="103"/>
      <c r="U352" s="103"/>
      <c r="V352" s="103"/>
      <c r="W352" s="103"/>
      <c r="X352" s="103"/>
      <c r="Y352" s="103"/>
      <c r="Z352" s="103"/>
      <c r="AA352" s="103"/>
      <c r="AB352" s="103">
        <f t="shared" si="137"/>
        <v>0</v>
      </c>
      <c r="AC352" s="103"/>
      <c r="AD352" s="103"/>
      <c r="AE352" s="104">
        <f t="shared" si="138"/>
        <v>0</v>
      </c>
      <c r="AF352" s="208"/>
      <c r="AG352" s="208"/>
      <c r="AH352" s="208"/>
      <c r="AI352" s="208"/>
      <c r="AJ352" s="208"/>
    </row>
    <row r="353" spans="1:36" s="39" customFormat="1" ht="80.25" customHeight="1" hidden="1">
      <c r="A353" s="76"/>
      <c r="B353" s="101" t="s">
        <v>560</v>
      </c>
      <c r="C353" s="101" t="s">
        <v>266</v>
      </c>
      <c r="D353" s="101" t="s">
        <v>286</v>
      </c>
      <c r="E353" s="102" t="s">
        <v>221</v>
      </c>
      <c r="F353" s="80">
        <f t="shared" si="132"/>
        <v>0</v>
      </c>
      <c r="G353" s="103"/>
      <c r="H353" s="103">
        <f aca="true" t="shared" si="140" ref="H353:AA353">H354</f>
        <v>0</v>
      </c>
      <c r="I353" s="103">
        <f t="shared" si="140"/>
        <v>0</v>
      </c>
      <c r="J353" s="103">
        <f t="shared" si="140"/>
        <v>0</v>
      </c>
      <c r="K353" s="103">
        <f t="shared" si="140"/>
        <v>0</v>
      </c>
      <c r="L353" s="103">
        <f t="shared" si="140"/>
        <v>0</v>
      </c>
      <c r="M353" s="103">
        <f t="shared" si="140"/>
        <v>0</v>
      </c>
      <c r="N353" s="103">
        <f t="shared" si="140"/>
        <v>0</v>
      </c>
      <c r="O353" s="80">
        <f t="shared" si="140"/>
        <v>0</v>
      </c>
      <c r="P353" s="103">
        <f t="shared" si="140"/>
        <v>0</v>
      </c>
      <c r="Q353" s="103">
        <f t="shared" si="140"/>
        <v>0</v>
      </c>
      <c r="R353" s="103">
        <f t="shared" si="140"/>
        <v>0</v>
      </c>
      <c r="S353" s="103">
        <f t="shared" si="140"/>
        <v>0</v>
      </c>
      <c r="T353" s="103">
        <f t="shared" si="140"/>
        <v>0</v>
      </c>
      <c r="U353" s="103">
        <f t="shared" si="140"/>
        <v>0</v>
      </c>
      <c r="V353" s="103">
        <f t="shared" si="140"/>
        <v>0</v>
      </c>
      <c r="W353" s="103">
        <f t="shared" si="140"/>
        <v>0</v>
      </c>
      <c r="X353" s="103">
        <f t="shared" si="140"/>
        <v>0</v>
      </c>
      <c r="Y353" s="103">
        <f t="shared" si="140"/>
        <v>0</v>
      </c>
      <c r="Z353" s="103">
        <f t="shared" si="140"/>
        <v>0</v>
      </c>
      <c r="AA353" s="103">
        <f t="shared" si="140"/>
        <v>0</v>
      </c>
      <c r="AB353" s="103">
        <f t="shared" si="137"/>
        <v>0</v>
      </c>
      <c r="AC353" s="103"/>
      <c r="AD353" s="103"/>
      <c r="AE353" s="104">
        <f t="shared" si="138"/>
        <v>0</v>
      </c>
      <c r="AF353" s="208"/>
      <c r="AG353" s="208"/>
      <c r="AH353" s="208"/>
      <c r="AI353" s="208"/>
      <c r="AJ353" s="208"/>
    </row>
    <row r="354" spans="1:36" s="39" customFormat="1" ht="104.25" customHeight="1" hidden="1">
      <c r="A354" s="76"/>
      <c r="B354" s="101"/>
      <c r="C354" s="101"/>
      <c r="D354" s="101"/>
      <c r="E354" s="108" t="s">
        <v>574</v>
      </c>
      <c r="F354" s="80">
        <f t="shared" si="132"/>
        <v>0</v>
      </c>
      <c r="G354" s="103"/>
      <c r="H354" s="103"/>
      <c r="I354" s="103"/>
      <c r="J354" s="103"/>
      <c r="K354" s="103"/>
      <c r="L354" s="103"/>
      <c r="M354" s="209"/>
      <c r="N354" s="103"/>
      <c r="O354" s="80"/>
      <c r="P354" s="103"/>
      <c r="Q354" s="103"/>
      <c r="R354" s="103"/>
      <c r="S354" s="103"/>
      <c r="T354" s="103"/>
      <c r="U354" s="103"/>
      <c r="V354" s="103"/>
      <c r="W354" s="103"/>
      <c r="X354" s="103"/>
      <c r="Y354" s="103"/>
      <c r="Z354" s="103"/>
      <c r="AA354" s="103"/>
      <c r="AB354" s="103">
        <f t="shared" si="137"/>
        <v>0</v>
      </c>
      <c r="AC354" s="103"/>
      <c r="AD354" s="103"/>
      <c r="AE354" s="104">
        <f t="shared" si="138"/>
        <v>0</v>
      </c>
      <c r="AF354" s="208"/>
      <c r="AG354" s="208"/>
      <c r="AH354" s="208"/>
      <c r="AI354" s="208"/>
      <c r="AJ354" s="208"/>
    </row>
    <row r="355" spans="1:34" s="39" customFormat="1" ht="59.25" customHeight="1" hidden="1">
      <c r="A355" s="76" t="s">
        <v>242</v>
      </c>
      <c r="B355" s="76" t="s">
        <v>578</v>
      </c>
      <c r="C355" s="76" t="s">
        <v>15</v>
      </c>
      <c r="D355" s="76" t="s">
        <v>16</v>
      </c>
      <c r="E355" s="186" t="s">
        <v>17</v>
      </c>
      <c r="F355" s="80">
        <f t="shared" si="132"/>
        <v>0</v>
      </c>
      <c r="G355" s="103">
        <f>G356</f>
        <v>0</v>
      </c>
      <c r="H355" s="103">
        <f aca="true" t="shared" si="141" ref="H355:AA355">H356</f>
        <v>0</v>
      </c>
      <c r="I355" s="103">
        <f t="shared" si="141"/>
        <v>0</v>
      </c>
      <c r="J355" s="103">
        <f t="shared" si="141"/>
        <v>0</v>
      </c>
      <c r="K355" s="103">
        <f t="shared" si="141"/>
        <v>0</v>
      </c>
      <c r="L355" s="103">
        <f t="shared" si="141"/>
        <v>0</v>
      </c>
      <c r="M355" s="103">
        <f t="shared" si="141"/>
        <v>0</v>
      </c>
      <c r="N355" s="103">
        <f t="shared" si="141"/>
        <v>0</v>
      </c>
      <c r="O355" s="80">
        <f>SUM(P355:R355)</f>
        <v>0</v>
      </c>
      <c r="P355" s="103">
        <f t="shared" si="141"/>
        <v>0</v>
      </c>
      <c r="Q355" s="103">
        <f t="shared" si="141"/>
        <v>0</v>
      </c>
      <c r="R355" s="103">
        <f t="shared" si="141"/>
        <v>0</v>
      </c>
      <c r="S355" s="103">
        <f t="shared" si="141"/>
        <v>0</v>
      </c>
      <c r="T355" s="103">
        <f t="shared" si="141"/>
        <v>0</v>
      </c>
      <c r="U355" s="103">
        <f t="shared" si="141"/>
        <v>0</v>
      </c>
      <c r="V355" s="103">
        <f t="shared" si="141"/>
        <v>0</v>
      </c>
      <c r="W355" s="103">
        <f t="shared" si="141"/>
        <v>0</v>
      </c>
      <c r="X355" s="103">
        <f t="shared" si="141"/>
        <v>0</v>
      </c>
      <c r="Y355" s="103">
        <f t="shared" si="141"/>
        <v>0</v>
      </c>
      <c r="Z355" s="103">
        <f t="shared" si="141"/>
        <v>0</v>
      </c>
      <c r="AA355" s="103">
        <f t="shared" si="141"/>
        <v>0</v>
      </c>
      <c r="AB355" s="103">
        <f t="shared" si="137"/>
        <v>0</v>
      </c>
      <c r="AC355" s="103"/>
      <c r="AD355" s="103"/>
      <c r="AE355" s="104">
        <f t="shared" si="138"/>
        <v>0</v>
      </c>
      <c r="AF355" s="38"/>
      <c r="AG355" s="38"/>
      <c r="AH355" s="38"/>
    </row>
    <row r="356" spans="1:34" s="39" customFormat="1" ht="104.25" customHeight="1" hidden="1">
      <c r="A356" s="76" t="s">
        <v>267</v>
      </c>
      <c r="B356" s="101"/>
      <c r="C356" s="101"/>
      <c r="D356" s="101"/>
      <c r="E356" s="1" t="s">
        <v>579</v>
      </c>
      <c r="F356" s="80">
        <f t="shared" si="132"/>
        <v>0</v>
      </c>
      <c r="G356" s="103"/>
      <c r="H356" s="103"/>
      <c r="I356" s="103"/>
      <c r="J356" s="103"/>
      <c r="K356" s="103"/>
      <c r="L356" s="103"/>
      <c r="M356" s="209"/>
      <c r="N356" s="103"/>
      <c r="O356" s="80">
        <f>SUM(P356:R356)</f>
        <v>0</v>
      </c>
      <c r="P356" s="103"/>
      <c r="Q356" s="103"/>
      <c r="R356" s="103"/>
      <c r="S356" s="103"/>
      <c r="T356" s="103"/>
      <c r="U356" s="103"/>
      <c r="V356" s="103"/>
      <c r="W356" s="103"/>
      <c r="X356" s="103"/>
      <c r="Y356" s="103"/>
      <c r="Z356" s="103"/>
      <c r="AA356" s="103"/>
      <c r="AB356" s="103">
        <f t="shared" si="137"/>
        <v>0</v>
      </c>
      <c r="AC356" s="103"/>
      <c r="AD356" s="103"/>
      <c r="AE356" s="104">
        <f t="shared" si="138"/>
        <v>0</v>
      </c>
      <c r="AF356" s="138"/>
      <c r="AG356" s="138"/>
      <c r="AH356" s="138"/>
    </row>
    <row r="357" spans="1:34" s="39" customFormat="1" ht="44.25" customHeight="1" hidden="1">
      <c r="A357" s="76"/>
      <c r="B357" s="101" t="s">
        <v>129</v>
      </c>
      <c r="C357" s="101" t="s">
        <v>119</v>
      </c>
      <c r="D357" s="101" t="s">
        <v>427</v>
      </c>
      <c r="E357" s="116" t="s">
        <v>117</v>
      </c>
      <c r="F357" s="80">
        <f t="shared" si="132"/>
        <v>0</v>
      </c>
      <c r="G357" s="103">
        <f>G358</f>
        <v>0</v>
      </c>
      <c r="H357" s="103">
        <f>H358</f>
        <v>0</v>
      </c>
      <c r="I357" s="103">
        <f aca="true" t="shared" si="142" ref="I357:AA357">I358</f>
        <v>0</v>
      </c>
      <c r="J357" s="103">
        <f t="shared" si="142"/>
        <v>0</v>
      </c>
      <c r="K357" s="103">
        <f t="shared" si="142"/>
        <v>0</v>
      </c>
      <c r="L357" s="103">
        <f t="shared" si="142"/>
        <v>0</v>
      </c>
      <c r="M357" s="103">
        <f t="shared" si="142"/>
        <v>0</v>
      </c>
      <c r="N357" s="103">
        <f t="shared" si="142"/>
        <v>0</v>
      </c>
      <c r="O357" s="80">
        <f t="shared" si="142"/>
        <v>0</v>
      </c>
      <c r="P357" s="103">
        <f t="shared" si="142"/>
        <v>0</v>
      </c>
      <c r="Q357" s="103">
        <f t="shared" si="142"/>
        <v>0</v>
      </c>
      <c r="R357" s="103">
        <f t="shared" si="142"/>
        <v>0</v>
      </c>
      <c r="S357" s="103">
        <f t="shared" si="142"/>
        <v>0</v>
      </c>
      <c r="T357" s="103">
        <f t="shared" si="142"/>
        <v>0</v>
      </c>
      <c r="U357" s="103">
        <f t="shared" si="142"/>
        <v>0</v>
      </c>
      <c r="V357" s="103">
        <f t="shared" si="142"/>
        <v>0</v>
      </c>
      <c r="W357" s="103">
        <f t="shared" si="142"/>
        <v>0</v>
      </c>
      <c r="X357" s="103">
        <f t="shared" si="142"/>
        <v>0</v>
      </c>
      <c r="Y357" s="103">
        <f t="shared" si="142"/>
        <v>0</v>
      </c>
      <c r="Z357" s="103">
        <f t="shared" si="142"/>
        <v>0</v>
      </c>
      <c r="AA357" s="103">
        <f t="shared" si="142"/>
        <v>0</v>
      </c>
      <c r="AB357" s="103">
        <f t="shared" si="137"/>
        <v>0</v>
      </c>
      <c r="AC357" s="103"/>
      <c r="AD357" s="103"/>
      <c r="AE357" s="104">
        <f t="shared" si="138"/>
        <v>0</v>
      </c>
      <c r="AF357" s="138"/>
      <c r="AG357" s="138"/>
      <c r="AH357" s="138"/>
    </row>
    <row r="358" spans="1:34" s="39" customFormat="1" ht="132.75" customHeight="1" hidden="1">
      <c r="A358" s="76"/>
      <c r="B358" s="107"/>
      <c r="C358" s="107"/>
      <c r="D358" s="107"/>
      <c r="E358" s="1" t="s">
        <v>559</v>
      </c>
      <c r="F358" s="80">
        <f t="shared" si="132"/>
        <v>0</v>
      </c>
      <c r="G358" s="103"/>
      <c r="H358" s="103"/>
      <c r="I358" s="103"/>
      <c r="J358" s="103"/>
      <c r="K358" s="103"/>
      <c r="L358" s="103"/>
      <c r="M358" s="209"/>
      <c r="N358" s="103"/>
      <c r="O358" s="80"/>
      <c r="P358" s="103"/>
      <c r="Q358" s="103"/>
      <c r="R358" s="103"/>
      <c r="S358" s="103"/>
      <c r="T358" s="103"/>
      <c r="U358" s="103"/>
      <c r="V358" s="103"/>
      <c r="W358" s="103"/>
      <c r="X358" s="103"/>
      <c r="Y358" s="103"/>
      <c r="Z358" s="103"/>
      <c r="AA358" s="103"/>
      <c r="AB358" s="103">
        <f t="shared" si="137"/>
        <v>0</v>
      </c>
      <c r="AC358" s="103"/>
      <c r="AD358" s="103"/>
      <c r="AE358" s="104">
        <f t="shared" si="138"/>
        <v>0</v>
      </c>
      <c r="AF358" s="138"/>
      <c r="AG358" s="138"/>
      <c r="AH358" s="138"/>
    </row>
    <row r="359" spans="1:36" s="39" customFormat="1" ht="48.75" customHeight="1">
      <c r="A359" s="76" t="s">
        <v>293</v>
      </c>
      <c r="B359" s="101" t="s">
        <v>208</v>
      </c>
      <c r="C359" s="101" t="s">
        <v>122</v>
      </c>
      <c r="D359" s="101" t="s">
        <v>268</v>
      </c>
      <c r="E359" s="102" t="s">
        <v>120</v>
      </c>
      <c r="F359" s="80">
        <f t="shared" si="132"/>
        <v>0</v>
      </c>
      <c r="G359" s="103">
        <f aca="true" t="shared" si="143" ref="G359:T359">SUM(G360:G361)</f>
        <v>0</v>
      </c>
      <c r="H359" s="103">
        <f t="shared" si="143"/>
        <v>0</v>
      </c>
      <c r="I359" s="103">
        <f t="shared" si="143"/>
        <v>0</v>
      </c>
      <c r="J359" s="103">
        <f t="shared" si="143"/>
        <v>0</v>
      </c>
      <c r="K359" s="103">
        <f t="shared" si="143"/>
        <v>0</v>
      </c>
      <c r="L359" s="103">
        <f t="shared" si="143"/>
        <v>0</v>
      </c>
      <c r="M359" s="103">
        <f t="shared" si="143"/>
        <v>0</v>
      </c>
      <c r="N359" s="103">
        <f t="shared" si="143"/>
        <v>0</v>
      </c>
      <c r="O359" s="80">
        <f t="shared" si="143"/>
        <v>0</v>
      </c>
      <c r="P359" s="103">
        <f t="shared" si="143"/>
        <v>0</v>
      </c>
      <c r="Q359" s="103">
        <f t="shared" si="143"/>
        <v>0</v>
      </c>
      <c r="R359" s="103">
        <f t="shared" si="143"/>
        <v>0</v>
      </c>
      <c r="S359" s="103">
        <f t="shared" si="143"/>
        <v>0</v>
      </c>
      <c r="T359" s="103">
        <f t="shared" si="143"/>
        <v>0</v>
      </c>
      <c r="U359" s="103">
        <f>SUM(U360:U361)</f>
        <v>-1848924.45</v>
      </c>
      <c r="V359" s="103">
        <f aca="true" t="shared" si="144" ref="V359:AA359">SUM(V360:V361)</f>
        <v>0</v>
      </c>
      <c r="W359" s="103">
        <f t="shared" si="144"/>
        <v>0</v>
      </c>
      <c r="X359" s="103">
        <f t="shared" si="144"/>
        <v>0</v>
      </c>
      <c r="Y359" s="103">
        <f t="shared" si="144"/>
        <v>0</v>
      </c>
      <c r="Z359" s="103">
        <f t="shared" si="144"/>
        <v>0</v>
      </c>
      <c r="AA359" s="103">
        <f t="shared" si="144"/>
        <v>0</v>
      </c>
      <c r="AB359" s="103">
        <f t="shared" si="137"/>
        <v>-1848924.45</v>
      </c>
      <c r="AC359" s="103"/>
      <c r="AD359" s="103"/>
      <c r="AE359" s="104">
        <f t="shared" si="138"/>
        <v>-1848924.45</v>
      </c>
      <c r="AF359" s="38"/>
      <c r="AG359" s="38"/>
      <c r="AH359" s="38"/>
      <c r="AI359" s="234"/>
      <c r="AJ359" s="234"/>
    </row>
    <row r="360" spans="1:36" s="39" customFormat="1" ht="227.25" customHeight="1">
      <c r="A360" s="76"/>
      <c r="B360" s="101"/>
      <c r="C360" s="101"/>
      <c r="D360" s="101"/>
      <c r="E360" s="108" t="s">
        <v>645</v>
      </c>
      <c r="F360" s="80">
        <f t="shared" si="132"/>
        <v>0</v>
      </c>
      <c r="G360" s="103"/>
      <c r="H360" s="103"/>
      <c r="I360" s="103"/>
      <c r="J360" s="103"/>
      <c r="K360" s="103"/>
      <c r="L360" s="103"/>
      <c r="M360" s="103"/>
      <c r="N360" s="103"/>
      <c r="O360" s="80"/>
      <c r="P360" s="103"/>
      <c r="Q360" s="103"/>
      <c r="R360" s="103"/>
      <c r="S360" s="103"/>
      <c r="T360" s="103"/>
      <c r="U360" s="103">
        <f>-690000-1115911</f>
        <v>-1805911</v>
      </c>
      <c r="V360" s="103"/>
      <c r="W360" s="103"/>
      <c r="X360" s="103"/>
      <c r="Y360" s="103"/>
      <c r="Z360" s="103"/>
      <c r="AA360" s="103"/>
      <c r="AB360" s="103">
        <f t="shared" si="137"/>
        <v>-1805911</v>
      </c>
      <c r="AC360" s="103"/>
      <c r="AD360" s="103"/>
      <c r="AE360" s="104">
        <f>SUM(AB360:AD360)</f>
        <v>-1805911</v>
      </c>
      <c r="AF360" s="200"/>
      <c r="AG360" s="200"/>
      <c r="AH360" s="200"/>
      <c r="AI360" s="234"/>
      <c r="AJ360" s="234"/>
    </row>
    <row r="361" spans="1:34" s="39" customFormat="1" ht="61.5" customHeight="1">
      <c r="A361" s="235"/>
      <c r="B361" s="107"/>
      <c r="C361" s="107"/>
      <c r="D361" s="107"/>
      <c r="E361" s="108" t="s">
        <v>209</v>
      </c>
      <c r="F361" s="80">
        <f t="shared" si="132"/>
        <v>0</v>
      </c>
      <c r="G361" s="103"/>
      <c r="H361" s="103"/>
      <c r="I361" s="103"/>
      <c r="J361" s="103"/>
      <c r="K361" s="103"/>
      <c r="L361" s="103"/>
      <c r="M361" s="209"/>
      <c r="N361" s="103"/>
      <c r="O361" s="80">
        <f>SUM(P361:R361)</f>
        <v>0</v>
      </c>
      <c r="P361" s="103"/>
      <c r="Q361" s="103"/>
      <c r="R361" s="103"/>
      <c r="S361" s="103"/>
      <c r="T361" s="103"/>
      <c r="U361" s="32">
        <v>-43013.45</v>
      </c>
      <c r="V361" s="103"/>
      <c r="W361" s="103"/>
      <c r="X361" s="103"/>
      <c r="Y361" s="103"/>
      <c r="Z361" s="103"/>
      <c r="AA361" s="103"/>
      <c r="AB361" s="103">
        <f t="shared" si="137"/>
        <v>-43013.45</v>
      </c>
      <c r="AC361" s="103"/>
      <c r="AD361" s="103"/>
      <c r="AE361" s="104">
        <f t="shared" si="138"/>
        <v>-43013.45</v>
      </c>
      <c r="AF361" s="138"/>
      <c r="AG361" s="138"/>
      <c r="AH361" s="138"/>
    </row>
    <row r="362" spans="1:34" s="39" customFormat="1" ht="33.75" customHeight="1">
      <c r="A362" s="235"/>
      <c r="B362" s="101" t="s">
        <v>595</v>
      </c>
      <c r="C362" s="101" t="s">
        <v>130</v>
      </c>
      <c r="D362" s="101" t="s">
        <v>264</v>
      </c>
      <c r="E362" s="116" t="s">
        <v>336</v>
      </c>
      <c r="F362" s="80">
        <f t="shared" si="132"/>
        <v>0</v>
      </c>
      <c r="G362" s="103"/>
      <c r="H362" s="103"/>
      <c r="I362" s="103"/>
      <c r="J362" s="103"/>
      <c r="K362" s="103"/>
      <c r="L362" s="103"/>
      <c r="M362" s="209"/>
      <c r="N362" s="103"/>
      <c r="O362" s="80">
        <f>SUM(P362:R362)</f>
        <v>0</v>
      </c>
      <c r="P362" s="103"/>
      <c r="Q362" s="103"/>
      <c r="R362" s="103"/>
      <c r="S362" s="103"/>
      <c r="T362" s="103"/>
      <c r="U362" s="103"/>
      <c r="V362" s="103"/>
      <c r="W362" s="103"/>
      <c r="X362" s="103"/>
      <c r="Y362" s="103"/>
      <c r="Z362" s="103"/>
      <c r="AA362" s="103"/>
      <c r="AB362" s="103">
        <f t="shared" si="137"/>
        <v>0</v>
      </c>
      <c r="AC362" s="103"/>
      <c r="AD362" s="103">
        <v>-10000</v>
      </c>
      <c r="AE362" s="104">
        <f>SUM(AB362:AD362)</f>
        <v>-10000</v>
      </c>
      <c r="AF362" s="138"/>
      <c r="AG362" s="138"/>
      <c r="AH362" s="138"/>
    </row>
    <row r="363" spans="1:34" s="39" customFormat="1" ht="61.5" customHeight="1">
      <c r="A363" s="235"/>
      <c r="B363" s="101" t="s">
        <v>596</v>
      </c>
      <c r="C363" s="101" t="s">
        <v>131</v>
      </c>
      <c r="D363" s="101" t="s">
        <v>264</v>
      </c>
      <c r="E363" s="116" t="s">
        <v>132</v>
      </c>
      <c r="F363" s="80">
        <f t="shared" si="132"/>
        <v>0</v>
      </c>
      <c r="G363" s="103">
        <f>G364</f>
        <v>0</v>
      </c>
      <c r="H363" s="103">
        <f aca="true" t="shared" si="145" ref="H363:Z363">H364</f>
        <v>0</v>
      </c>
      <c r="I363" s="103">
        <f t="shared" si="145"/>
        <v>0</v>
      </c>
      <c r="J363" s="103">
        <f t="shared" si="145"/>
        <v>0</v>
      </c>
      <c r="K363" s="103">
        <f t="shared" si="145"/>
        <v>0</v>
      </c>
      <c r="L363" s="103">
        <f t="shared" si="145"/>
        <v>0</v>
      </c>
      <c r="M363" s="103">
        <f t="shared" si="145"/>
        <v>0</v>
      </c>
      <c r="N363" s="103">
        <f t="shared" si="145"/>
        <v>0</v>
      </c>
      <c r="O363" s="80">
        <f>SUM(P363:R363)</f>
        <v>0</v>
      </c>
      <c r="P363" s="103">
        <f t="shared" si="145"/>
        <v>0</v>
      </c>
      <c r="Q363" s="103">
        <f t="shared" si="145"/>
        <v>0</v>
      </c>
      <c r="R363" s="103">
        <f t="shared" si="145"/>
        <v>0</v>
      </c>
      <c r="S363" s="103">
        <f t="shared" si="145"/>
        <v>0</v>
      </c>
      <c r="T363" s="103">
        <f t="shared" si="145"/>
        <v>0</v>
      </c>
      <c r="U363" s="103">
        <f t="shared" si="145"/>
        <v>0</v>
      </c>
      <c r="V363" s="103">
        <f t="shared" si="145"/>
        <v>0</v>
      </c>
      <c r="W363" s="103">
        <f t="shared" si="145"/>
        <v>0</v>
      </c>
      <c r="X363" s="103">
        <f t="shared" si="145"/>
        <v>0</v>
      </c>
      <c r="Y363" s="103">
        <f t="shared" si="145"/>
        <v>0</v>
      </c>
      <c r="Z363" s="103">
        <f t="shared" si="145"/>
        <v>0</v>
      </c>
      <c r="AA363" s="103">
        <f>AA364</f>
        <v>0</v>
      </c>
      <c r="AB363" s="103">
        <f t="shared" si="137"/>
        <v>0</v>
      </c>
      <c r="AC363" s="103">
        <f>AC364</f>
        <v>610732</v>
      </c>
      <c r="AD363" s="103">
        <f>AD364</f>
        <v>0</v>
      </c>
      <c r="AE363" s="104">
        <f>SUM(AB363:AD363)</f>
        <v>610732</v>
      </c>
      <c r="AF363" s="138"/>
      <c r="AG363" s="138"/>
      <c r="AH363" s="138"/>
    </row>
    <row r="364" spans="1:34" s="39" customFormat="1" ht="84.75" customHeight="1">
      <c r="A364" s="235"/>
      <c r="B364" s="107"/>
      <c r="C364" s="77"/>
      <c r="D364" s="77"/>
      <c r="E364" s="1" t="s">
        <v>612</v>
      </c>
      <c r="F364" s="80">
        <f t="shared" si="132"/>
        <v>0</v>
      </c>
      <c r="G364" s="103"/>
      <c r="H364" s="103"/>
      <c r="I364" s="103"/>
      <c r="J364" s="103"/>
      <c r="K364" s="103"/>
      <c r="L364" s="103"/>
      <c r="M364" s="209"/>
      <c r="N364" s="103"/>
      <c r="O364" s="80">
        <f>SUM(P364:R364)</f>
        <v>0</v>
      </c>
      <c r="P364" s="103"/>
      <c r="Q364" s="103"/>
      <c r="R364" s="103"/>
      <c r="S364" s="103"/>
      <c r="T364" s="103"/>
      <c r="U364" s="103"/>
      <c r="V364" s="103"/>
      <c r="W364" s="103">
        <f>473906-473906</f>
        <v>0</v>
      </c>
      <c r="X364" s="103"/>
      <c r="Y364" s="103"/>
      <c r="Z364" s="103"/>
      <c r="AA364" s="103"/>
      <c r="AB364" s="103">
        <f t="shared" si="137"/>
        <v>0</v>
      </c>
      <c r="AC364" s="103">
        <f>4265157-3654425</f>
        <v>610732</v>
      </c>
      <c r="AD364" s="103"/>
      <c r="AE364" s="104">
        <f>SUM(AB364:AD364)</f>
        <v>610732</v>
      </c>
      <c r="AF364" s="138"/>
      <c r="AG364" s="138"/>
      <c r="AH364" s="138"/>
    </row>
    <row r="365" spans="1:36" s="39" customFormat="1" ht="45" customHeight="1">
      <c r="A365" s="136"/>
      <c r="B365" s="77"/>
      <c r="C365" s="77"/>
      <c r="D365" s="77"/>
      <c r="E365" s="166" t="s">
        <v>359</v>
      </c>
      <c r="F365" s="80">
        <f t="shared" si="132"/>
        <v>-2356066</v>
      </c>
      <c r="G365" s="167">
        <f>G347+G355+G357+G359+G362+G363</f>
        <v>-1918433</v>
      </c>
      <c r="H365" s="167">
        <f>H347+H355+H357+H359+H362+H363</f>
        <v>-437633</v>
      </c>
      <c r="I365" s="167">
        <f aca="true" t="shared" si="146" ref="I365:AD365">I347+I355+I357+I359+I362+I363+I351+I353</f>
        <v>11000</v>
      </c>
      <c r="J365" s="167">
        <f t="shared" si="146"/>
        <v>0</v>
      </c>
      <c r="K365" s="167">
        <f t="shared" si="146"/>
        <v>0</v>
      </c>
      <c r="L365" s="167">
        <f t="shared" si="146"/>
        <v>0</v>
      </c>
      <c r="M365" s="167">
        <f t="shared" si="146"/>
        <v>-11000</v>
      </c>
      <c r="N365" s="167">
        <f t="shared" si="146"/>
        <v>0</v>
      </c>
      <c r="O365" s="84">
        <f t="shared" si="146"/>
        <v>0</v>
      </c>
      <c r="P365" s="167">
        <f t="shared" si="146"/>
        <v>0</v>
      </c>
      <c r="Q365" s="167">
        <f t="shared" si="146"/>
        <v>0</v>
      </c>
      <c r="R365" s="167">
        <f t="shared" si="146"/>
        <v>0</v>
      </c>
      <c r="S365" s="167">
        <f t="shared" si="146"/>
        <v>0</v>
      </c>
      <c r="T365" s="167">
        <f t="shared" si="146"/>
        <v>0</v>
      </c>
      <c r="U365" s="167">
        <f t="shared" si="146"/>
        <v>-1848924.45</v>
      </c>
      <c r="V365" s="167">
        <f t="shared" si="146"/>
        <v>0</v>
      </c>
      <c r="W365" s="167">
        <f t="shared" si="146"/>
        <v>0</v>
      </c>
      <c r="X365" s="167">
        <f t="shared" si="146"/>
        <v>0</v>
      </c>
      <c r="Y365" s="167">
        <f t="shared" si="146"/>
        <v>0</v>
      </c>
      <c r="Z365" s="167">
        <f t="shared" si="146"/>
        <v>0</v>
      </c>
      <c r="AA365" s="167">
        <f t="shared" si="146"/>
        <v>0</v>
      </c>
      <c r="AB365" s="167">
        <f t="shared" si="146"/>
        <v>-4204990.45</v>
      </c>
      <c r="AC365" s="167">
        <f t="shared" si="146"/>
        <v>610732</v>
      </c>
      <c r="AD365" s="167">
        <f t="shared" si="146"/>
        <v>-10000</v>
      </c>
      <c r="AE365" s="104">
        <f>AE347+AE355+AE357+AE359+AE362+AE363+AE351+AE353</f>
        <v>-3604258.45</v>
      </c>
      <c r="AF365" s="217"/>
      <c r="AG365" s="217"/>
      <c r="AH365" s="217"/>
      <c r="AI365" s="229"/>
      <c r="AJ365" s="229"/>
    </row>
    <row r="366" spans="1:39" s="39" customFormat="1" ht="66" customHeight="1">
      <c r="A366" s="136"/>
      <c r="B366" s="236"/>
      <c r="C366" s="236"/>
      <c r="D366" s="236"/>
      <c r="E366" s="237" t="s">
        <v>415</v>
      </c>
      <c r="F366" s="238">
        <f t="shared" si="132"/>
        <v>823652</v>
      </c>
      <c r="G366" s="239">
        <f aca="true" t="shared" si="147" ref="G366:AD366">G34+G88+G94+G193+G207+G255+G310+G322+G344+G365</f>
        <v>605609</v>
      </c>
      <c r="H366" s="239">
        <f t="shared" si="147"/>
        <v>218043</v>
      </c>
      <c r="I366" s="240">
        <f t="shared" si="147"/>
        <v>2010866.3599999999</v>
      </c>
      <c r="J366" s="240">
        <f t="shared" si="147"/>
        <v>0</v>
      </c>
      <c r="K366" s="240">
        <f t="shared" si="147"/>
        <v>-1967215</v>
      </c>
      <c r="L366" s="240">
        <f t="shared" si="147"/>
        <v>-1183502.68</v>
      </c>
      <c r="M366" s="240">
        <f t="shared" si="147"/>
        <v>-277491</v>
      </c>
      <c r="N366" s="240">
        <f t="shared" si="147"/>
        <v>0</v>
      </c>
      <c r="O366" s="241">
        <f t="shared" si="147"/>
        <v>-5500</v>
      </c>
      <c r="P366" s="240">
        <f t="shared" si="147"/>
        <v>-43500</v>
      </c>
      <c r="Q366" s="240">
        <f t="shared" si="147"/>
        <v>-6100</v>
      </c>
      <c r="R366" s="240">
        <f t="shared" si="147"/>
        <v>-563.6800000000003</v>
      </c>
      <c r="S366" s="240">
        <f t="shared" si="147"/>
        <v>-900</v>
      </c>
      <c r="T366" s="240">
        <f t="shared" si="147"/>
        <v>0</v>
      </c>
      <c r="U366" s="240">
        <f t="shared" si="147"/>
        <v>-2301942.45</v>
      </c>
      <c r="V366" s="240">
        <f t="shared" si="147"/>
        <v>4290582.4</v>
      </c>
      <c r="W366" s="240">
        <f t="shared" si="147"/>
        <v>8340</v>
      </c>
      <c r="X366" s="240">
        <f t="shared" si="147"/>
        <v>0</v>
      </c>
      <c r="Y366" s="240">
        <f t="shared" si="147"/>
        <v>0</v>
      </c>
      <c r="Z366" s="240">
        <f t="shared" si="147"/>
        <v>-2039648</v>
      </c>
      <c r="AA366" s="240">
        <f t="shared" si="147"/>
        <v>-5002193</v>
      </c>
      <c r="AB366" s="240">
        <f t="shared" si="147"/>
        <v>-5689615.050000001</v>
      </c>
      <c r="AC366" s="242">
        <f t="shared" si="147"/>
        <v>610732</v>
      </c>
      <c r="AD366" s="240">
        <f t="shared" si="147"/>
        <v>-10000</v>
      </c>
      <c r="AE366" s="240">
        <f>AE34+AE88+AE94+AE193+AE207+AE255+AE310+AE322+AE344+AE365</f>
        <v>-5088883.050000001</v>
      </c>
      <c r="AF366" s="243"/>
      <c r="AG366" s="243"/>
      <c r="AH366" s="243"/>
      <c r="AI366" s="244"/>
      <c r="AJ366" s="245"/>
      <c r="AK366" s="246"/>
      <c r="AL366" s="170"/>
      <c r="AM366" s="127"/>
    </row>
    <row r="367" spans="1:39" s="39" customFormat="1" ht="48.75" customHeight="1">
      <c r="A367" s="33"/>
      <c r="B367" s="33"/>
      <c r="C367" s="33"/>
      <c r="D367" s="33"/>
      <c r="E367" s="247"/>
      <c r="F367" s="248"/>
      <c r="G367" s="64"/>
      <c r="H367" s="64"/>
      <c r="I367" s="64"/>
      <c r="J367" s="91"/>
      <c r="K367" s="91"/>
      <c r="L367" s="91"/>
      <c r="M367" s="81"/>
      <c r="N367" s="64"/>
      <c r="O367" s="80"/>
      <c r="P367" s="64"/>
      <c r="Q367" s="64"/>
      <c r="R367" s="64"/>
      <c r="S367" s="64"/>
      <c r="T367" s="64"/>
      <c r="U367" s="64"/>
      <c r="V367" s="64"/>
      <c r="W367" s="80"/>
      <c r="X367" s="80"/>
      <c r="Y367" s="80"/>
      <c r="Z367" s="64"/>
      <c r="AA367" s="249"/>
      <c r="AB367" s="249"/>
      <c r="AC367" s="249"/>
      <c r="AD367" s="249"/>
      <c r="AE367" s="157"/>
      <c r="AF367" s="250"/>
      <c r="AG367" s="250"/>
      <c r="AH367" s="250"/>
      <c r="AI367" s="251"/>
      <c r="AJ367" s="252"/>
      <c r="AK367" s="127"/>
      <c r="AL367" s="127"/>
      <c r="AM367" s="127"/>
    </row>
    <row r="368" spans="15:39" s="39" customFormat="1" ht="24" customHeight="1">
      <c r="O368" s="252"/>
      <c r="W368" s="252"/>
      <c r="X368" s="252"/>
      <c r="Y368" s="252"/>
      <c r="AA368" s="127"/>
      <c r="AB368" s="82"/>
      <c r="AC368" s="249"/>
      <c r="AD368" s="249"/>
      <c r="AE368" s="253"/>
      <c r="AF368" s="254"/>
      <c r="AG368" s="254"/>
      <c r="AH368" s="254"/>
      <c r="AI368" s="255"/>
      <c r="AJ368" s="256"/>
      <c r="AK368" s="257"/>
      <c r="AL368" s="257"/>
      <c r="AM368" s="257"/>
    </row>
    <row r="369" spans="15:39" s="39" customFormat="1" ht="24" customHeight="1">
      <c r="O369" s="252"/>
      <c r="W369" s="252"/>
      <c r="X369" s="252"/>
      <c r="Y369" s="252"/>
      <c r="AA369" s="127"/>
      <c r="AB369" s="82"/>
      <c r="AC369" s="249"/>
      <c r="AD369" s="249"/>
      <c r="AE369" s="253"/>
      <c r="AF369" s="254"/>
      <c r="AG369" s="258"/>
      <c r="AH369" s="258"/>
      <c r="AI369" s="255"/>
      <c r="AJ369" s="256"/>
      <c r="AK369" s="127"/>
      <c r="AL369" s="127"/>
      <c r="AM369" s="127"/>
    </row>
    <row r="370" spans="15:39" s="39" customFormat="1" ht="50.25" customHeight="1">
      <c r="O370" s="252"/>
      <c r="W370" s="252"/>
      <c r="X370" s="252"/>
      <c r="Y370" s="252"/>
      <c r="AA370" s="127"/>
      <c r="AB370" s="249"/>
      <c r="AC370" s="230"/>
      <c r="AD370" s="249"/>
      <c r="AE370" s="259"/>
      <c r="AF370" s="259"/>
      <c r="AG370" s="259"/>
      <c r="AH370" s="259"/>
      <c r="AI370" s="260"/>
      <c r="AJ370" s="261"/>
      <c r="AK370" s="262"/>
      <c r="AL370" s="127"/>
      <c r="AM370" s="127"/>
    </row>
    <row r="371" spans="9:39" s="39" customFormat="1" ht="24" customHeight="1">
      <c r="I371" s="230"/>
      <c r="K371" s="263"/>
      <c r="L371" s="206"/>
      <c r="O371" s="252"/>
      <c r="W371" s="252"/>
      <c r="X371" s="252"/>
      <c r="Y371" s="252"/>
      <c r="AA371" s="127"/>
      <c r="AB371" s="230"/>
      <c r="AC371" s="264"/>
      <c r="AD371" s="253"/>
      <c r="AE371" s="253"/>
      <c r="AF371" s="253"/>
      <c r="AG371" s="253"/>
      <c r="AH371" s="253"/>
      <c r="AI371" s="253"/>
      <c r="AJ371" s="253"/>
      <c r="AK371" s="253"/>
      <c r="AL371" s="265"/>
      <c r="AM371" s="265"/>
    </row>
    <row r="372" spans="9:39" s="39" customFormat="1" ht="24" customHeight="1">
      <c r="I372" s="249"/>
      <c r="K372" s="256"/>
      <c r="L372" s="256"/>
      <c r="O372" s="252"/>
      <c r="W372" s="252"/>
      <c r="X372" s="252"/>
      <c r="Y372" s="252"/>
      <c r="Z372" s="256"/>
      <c r="AA372" s="127"/>
      <c r="AB372" s="249"/>
      <c r="AC372" s="249"/>
      <c r="AD372" s="249"/>
      <c r="AE372" s="266"/>
      <c r="AF372" s="267"/>
      <c r="AG372" s="154"/>
      <c r="AH372" s="154"/>
      <c r="AI372" s="32"/>
      <c r="AJ372" s="32"/>
      <c r="AK372" s="268"/>
      <c r="AL372" s="127"/>
      <c r="AM372" s="127"/>
    </row>
    <row r="373" spans="9:39" s="39" customFormat="1" ht="24" customHeight="1">
      <c r="I373" s="249"/>
      <c r="K373" s="256"/>
      <c r="L373" s="256"/>
      <c r="O373" s="252"/>
      <c r="W373" s="252"/>
      <c r="X373" s="252"/>
      <c r="Y373" s="252"/>
      <c r="Z373" s="256"/>
      <c r="AA373" s="127"/>
      <c r="AB373" s="249"/>
      <c r="AC373" s="249"/>
      <c r="AD373" s="249"/>
      <c r="AE373" s="266"/>
      <c r="AF373" s="38"/>
      <c r="AG373" s="154"/>
      <c r="AH373" s="154"/>
      <c r="AI373" s="32"/>
      <c r="AJ373" s="32"/>
      <c r="AK373" s="268"/>
      <c r="AL373" s="264"/>
      <c r="AM373" s="127"/>
    </row>
    <row r="374" spans="9:39" s="39" customFormat="1" ht="24" customHeight="1">
      <c r="I374" s="249"/>
      <c r="K374" s="256"/>
      <c r="L374" s="256"/>
      <c r="O374" s="252"/>
      <c r="W374" s="252"/>
      <c r="X374" s="252"/>
      <c r="Y374" s="252"/>
      <c r="Z374" s="256"/>
      <c r="AA374" s="127"/>
      <c r="AB374" s="249"/>
      <c r="AC374" s="249"/>
      <c r="AD374" s="249"/>
      <c r="AE374" s="266"/>
      <c r="AF374" s="154"/>
      <c r="AG374" s="154"/>
      <c r="AH374" s="154"/>
      <c r="AI374" s="32"/>
      <c r="AJ374" s="32"/>
      <c r="AK374" s="268"/>
      <c r="AL374" s="127"/>
      <c r="AM374" s="127"/>
    </row>
    <row r="375" spans="9:39" s="39" customFormat="1" ht="24" customHeight="1">
      <c r="I375" s="150"/>
      <c r="K375" s="256"/>
      <c r="L375" s="256"/>
      <c r="O375" s="252"/>
      <c r="W375" s="252"/>
      <c r="X375" s="252"/>
      <c r="Y375" s="252"/>
      <c r="Z375" s="256"/>
      <c r="AA375" s="127"/>
      <c r="AB375" s="150"/>
      <c r="AC375" s="150"/>
      <c r="AD375" s="150"/>
      <c r="AE375" s="266"/>
      <c r="AF375" s="154"/>
      <c r="AG375" s="154"/>
      <c r="AH375" s="154"/>
      <c r="AI375" s="32"/>
      <c r="AJ375" s="32"/>
      <c r="AK375" s="268"/>
      <c r="AL375" s="127"/>
      <c r="AM375" s="127"/>
    </row>
    <row r="376" spans="9:39" s="39" customFormat="1" ht="24" customHeight="1">
      <c r="I376" s="150"/>
      <c r="K376" s="256"/>
      <c r="L376" s="256"/>
      <c r="O376" s="252"/>
      <c r="W376" s="252"/>
      <c r="X376" s="252"/>
      <c r="Y376" s="252"/>
      <c r="Z376" s="256"/>
      <c r="AA376" s="127"/>
      <c r="AB376" s="150"/>
      <c r="AC376" s="150"/>
      <c r="AD376" s="150"/>
      <c r="AE376" s="266"/>
      <c r="AF376" s="154"/>
      <c r="AG376" s="154"/>
      <c r="AH376" s="154"/>
      <c r="AI376" s="32"/>
      <c r="AJ376" s="32"/>
      <c r="AK376" s="268"/>
      <c r="AL376" s="127"/>
      <c r="AM376" s="127"/>
    </row>
    <row r="377" spans="9:39" s="39" customFormat="1" ht="24" customHeight="1">
      <c r="I377" s="150"/>
      <c r="L377" s="256"/>
      <c r="O377" s="252"/>
      <c r="W377" s="252"/>
      <c r="X377" s="252"/>
      <c r="Y377" s="252"/>
      <c r="Z377" s="256"/>
      <c r="AA377" s="127"/>
      <c r="AB377" s="150"/>
      <c r="AC377" s="150"/>
      <c r="AD377" s="150"/>
      <c r="AE377" s="266"/>
      <c r="AF377" s="154"/>
      <c r="AG377" s="154"/>
      <c r="AH377" s="154"/>
      <c r="AI377" s="32"/>
      <c r="AJ377" s="32"/>
      <c r="AK377" s="268"/>
      <c r="AL377" s="127"/>
      <c r="AM377" s="127"/>
    </row>
    <row r="378" spans="9:37" s="39" customFormat="1" ht="24" customHeight="1">
      <c r="I378" s="150"/>
      <c r="K378" s="256"/>
      <c r="L378" s="256"/>
      <c r="O378" s="252"/>
      <c r="W378" s="252"/>
      <c r="X378" s="252"/>
      <c r="Y378" s="252"/>
      <c r="Z378" s="256"/>
      <c r="AA378" s="127"/>
      <c r="AB378" s="150"/>
      <c r="AC378" s="150"/>
      <c r="AD378" s="150"/>
      <c r="AE378" s="269"/>
      <c r="AF378" s="154"/>
      <c r="AG378" s="154"/>
      <c r="AH378" s="154"/>
      <c r="AI378" s="32"/>
      <c r="AJ378" s="32"/>
      <c r="AK378" s="268"/>
    </row>
    <row r="379" spans="9:37" s="39" customFormat="1" ht="24" customHeight="1">
      <c r="I379" s="150"/>
      <c r="O379" s="252"/>
      <c r="W379" s="252"/>
      <c r="X379" s="252"/>
      <c r="Y379" s="252"/>
      <c r="Z379" s="256"/>
      <c r="AA379" s="127"/>
      <c r="AB379" s="150"/>
      <c r="AC379" s="150"/>
      <c r="AD379" s="150"/>
      <c r="AE379" s="269"/>
      <c r="AF379" s="154"/>
      <c r="AG379" s="154"/>
      <c r="AH379" s="154"/>
      <c r="AI379" s="32"/>
      <c r="AJ379" s="32"/>
      <c r="AK379" s="268"/>
    </row>
    <row r="380" spans="9:37" s="39" customFormat="1" ht="24" customHeight="1">
      <c r="I380" s="150"/>
      <c r="K380" s="256"/>
      <c r="L380" s="256"/>
      <c r="O380" s="252"/>
      <c r="W380" s="252"/>
      <c r="X380" s="252"/>
      <c r="Y380" s="252"/>
      <c r="Z380" s="256"/>
      <c r="AA380" s="127"/>
      <c r="AB380" s="150"/>
      <c r="AC380" s="150"/>
      <c r="AD380" s="150"/>
      <c r="AE380" s="269"/>
      <c r="AF380" s="154"/>
      <c r="AG380" s="270"/>
      <c r="AH380" s="270"/>
      <c r="AI380" s="32"/>
      <c r="AJ380" s="32"/>
      <c r="AK380" s="268"/>
    </row>
    <row r="381" spans="11:36" s="39" customFormat="1" ht="24" customHeight="1">
      <c r="K381" s="206"/>
      <c r="L381" s="206"/>
      <c r="O381" s="252"/>
      <c r="W381" s="252"/>
      <c r="X381" s="252"/>
      <c r="Y381" s="252"/>
      <c r="AA381" s="127"/>
      <c r="AB381" s="150"/>
      <c r="AC381" s="150"/>
      <c r="AD381" s="150"/>
      <c r="AE381" s="269"/>
      <c r="AF381" s="270"/>
      <c r="AG381" s="270"/>
      <c r="AH381" s="270"/>
      <c r="AI381" s="256"/>
      <c r="AJ381" s="256"/>
    </row>
    <row r="382" spans="15:36" s="39" customFormat="1" ht="24" customHeight="1">
      <c r="O382" s="252"/>
      <c r="W382" s="252"/>
      <c r="X382" s="252"/>
      <c r="Y382" s="252"/>
      <c r="AA382" s="127"/>
      <c r="AB382" s="150"/>
      <c r="AC382" s="150"/>
      <c r="AD382" s="150"/>
      <c r="AE382" s="269"/>
      <c r="AF382" s="254"/>
      <c r="AG382" s="254"/>
      <c r="AH382" s="254"/>
      <c r="AI382" s="162"/>
      <c r="AJ382" s="162"/>
    </row>
    <row r="383" spans="15:36" s="39" customFormat="1" ht="24" customHeight="1">
      <c r="O383" s="252"/>
      <c r="W383" s="252"/>
      <c r="X383" s="252"/>
      <c r="Y383" s="252"/>
      <c r="AA383" s="127"/>
      <c r="AB383" s="249"/>
      <c r="AC383" s="249"/>
      <c r="AD383" s="249"/>
      <c r="AE383" s="253"/>
      <c r="AF383" s="254"/>
      <c r="AG383" s="254"/>
      <c r="AH383" s="254"/>
      <c r="AI383" s="162"/>
      <c r="AJ383" s="162"/>
    </row>
    <row r="384" spans="15:36" s="39" customFormat="1" ht="24" customHeight="1">
      <c r="O384" s="252"/>
      <c r="W384" s="252"/>
      <c r="X384" s="252"/>
      <c r="Y384" s="252"/>
      <c r="AA384" s="127"/>
      <c r="AB384" s="249"/>
      <c r="AC384" s="249"/>
      <c r="AD384" s="249"/>
      <c r="AE384" s="253"/>
      <c r="AF384" s="254"/>
      <c r="AG384" s="254"/>
      <c r="AH384" s="254"/>
      <c r="AI384" s="162"/>
      <c r="AJ384" s="162"/>
    </row>
    <row r="385" spans="15:36" s="39" customFormat="1" ht="24" customHeight="1">
      <c r="O385" s="252"/>
      <c r="W385" s="252"/>
      <c r="X385" s="252"/>
      <c r="Y385" s="252"/>
      <c r="AA385" s="127"/>
      <c r="AB385" s="249"/>
      <c r="AC385" s="249"/>
      <c r="AD385" s="249"/>
      <c r="AE385" s="199"/>
      <c r="AF385" s="254"/>
      <c r="AG385" s="254"/>
      <c r="AH385" s="254"/>
      <c r="AI385" s="162"/>
      <c r="AJ385" s="162"/>
    </row>
    <row r="386" spans="15:36" s="39" customFormat="1" ht="24" customHeight="1">
      <c r="O386" s="252"/>
      <c r="V386" s="271"/>
      <c r="W386" s="252"/>
      <c r="X386" s="252"/>
      <c r="Y386" s="252"/>
      <c r="AA386" s="127"/>
      <c r="AB386" s="249"/>
      <c r="AC386" s="249"/>
      <c r="AD386" s="249"/>
      <c r="AE386" s="253"/>
      <c r="AF386" s="254"/>
      <c r="AG386" s="254"/>
      <c r="AH386" s="254"/>
      <c r="AI386" s="162"/>
      <c r="AJ386" s="162"/>
    </row>
    <row r="387" spans="15:36" s="39" customFormat="1" ht="24" customHeight="1">
      <c r="O387" s="252"/>
      <c r="W387" s="252"/>
      <c r="X387" s="252"/>
      <c r="Y387" s="252"/>
      <c r="AA387" s="127"/>
      <c r="AB387" s="127"/>
      <c r="AC387" s="127"/>
      <c r="AD387" s="127"/>
      <c r="AE387" s="272"/>
      <c r="AF387" s="254"/>
      <c r="AG387" s="254"/>
      <c r="AH387" s="254"/>
      <c r="AI387" s="273"/>
      <c r="AJ387" s="273"/>
    </row>
    <row r="388" spans="15:36" s="39" customFormat="1" ht="24" customHeight="1">
      <c r="O388" s="252"/>
      <c r="W388" s="252"/>
      <c r="X388" s="252"/>
      <c r="Y388" s="252"/>
      <c r="AA388" s="127"/>
      <c r="AB388" s="170"/>
      <c r="AC388" s="127"/>
      <c r="AD388" s="127"/>
      <c r="AE388" s="257"/>
      <c r="AF388" s="254"/>
      <c r="AG388" s="254"/>
      <c r="AH388" s="254"/>
      <c r="AI388" s="162"/>
      <c r="AJ388" s="162"/>
    </row>
    <row r="389" spans="15:34" s="39" customFormat="1" ht="24" customHeight="1">
      <c r="O389" s="252"/>
      <c r="W389" s="252"/>
      <c r="X389" s="252"/>
      <c r="Y389" s="252"/>
      <c r="AE389" s="256"/>
      <c r="AF389" s="38"/>
      <c r="AG389" s="38"/>
      <c r="AH389" s="38"/>
    </row>
    <row r="390" spans="15:34" s="39" customFormat="1" ht="24" customHeight="1">
      <c r="O390" s="252"/>
      <c r="W390" s="252"/>
      <c r="X390" s="252"/>
      <c r="Y390" s="252"/>
      <c r="AB390" s="38"/>
      <c r="AE390" s="256"/>
      <c r="AF390" s="38"/>
      <c r="AG390" s="38"/>
      <c r="AH390" s="38"/>
    </row>
    <row r="391" spans="15:34" s="39" customFormat="1" ht="24" customHeight="1">
      <c r="O391" s="252"/>
      <c r="W391" s="252"/>
      <c r="X391" s="252"/>
      <c r="Y391" s="252"/>
      <c r="AB391" s="38"/>
      <c r="AE391" s="256"/>
      <c r="AF391" s="38"/>
      <c r="AG391" s="38"/>
      <c r="AH391" s="38"/>
    </row>
    <row r="392" spans="15:34" s="39" customFormat="1" ht="24" customHeight="1">
      <c r="O392" s="252"/>
      <c r="W392" s="252"/>
      <c r="X392" s="252"/>
      <c r="Y392" s="252"/>
      <c r="AB392" s="38"/>
      <c r="AE392" s="256"/>
      <c r="AF392" s="38"/>
      <c r="AG392" s="38"/>
      <c r="AH392" s="38"/>
    </row>
    <row r="393" spans="15:34" s="39" customFormat="1" ht="24" customHeight="1">
      <c r="O393" s="252"/>
      <c r="W393" s="252"/>
      <c r="X393" s="252"/>
      <c r="Y393" s="252"/>
      <c r="AB393" s="38"/>
      <c r="AE393" s="256"/>
      <c r="AF393" s="38"/>
      <c r="AG393" s="38"/>
      <c r="AH393" s="38"/>
    </row>
    <row r="394" spans="15:34" s="39" customFormat="1" ht="24" customHeight="1">
      <c r="O394" s="252"/>
      <c r="W394" s="252"/>
      <c r="X394" s="252"/>
      <c r="Y394" s="252"/>
      <c r="AB394" s="38"/>
      <c r="AE394" s="256"/>
      <c r="AF394" s="38"/>
      <c r="AG394" s="38"/>
      <c r="AH394" s="38"/>
    </row>
    <row r="395" spans="15:34" s="39" customFormat="1" ht="24" customHeight="1">
      <c r="O395" s="252"/>
      <c r="W395" s="252"/>
      <c r="X395" s="252"/>
      <c r="Y395" s="252"/>
      <c r="AB395" s="274"/>
      <c r="AE395" s="256"/>
      <c r="AF395" s="275"/>
      <c r="AG395" s="275"/>
      <c r="AH395" s="275"/>
    </row>
    <row r="396" spans="1:34" s="39" customFormat="1" ht="24" customHeight="1">
      <c r="A396" s="276"/>
      <c r="B396" s="276"/>
      <c r="C396" s="276"/>
      <c r="D396" s="276"/>
      <c r="E396" s="277"/>
      <c r="J396" s="229"/>
      <c r="K396" s="229"/>
      <c r="L396" s="229"/>
      <c r="M396" s="278"/>
      <c r="O396" s="252"/>
      <c r="W396" s="252"/>
      <c r="X396" s="252"/>
      <c r="Y396" s="252"/>
      <c r="AE396" s="256"/>
      <c r="AF396" s="38"/>
      <c r="AG396" s="38"/>
      <c r="AH396" s="38"/>
    </row>
    <row r="397" spans="6:36" s="39" customFormat="1" ht="24" customHeight="1">
      <c r="F397" s="279"/>
      <c r="O397" s="252"/>
      <c r="W397" s="252"/>
      <c r="X397" s="252"/>
      <c r="Y397" s="252"/>
      <c r="AB397" s="204"/>
      <c r="AC397" s="162"/>
      <c r="AD397" s="162"/>
      <c r="AE397" s="263"/>
      <c r="AF397" s="273"/>
      <c r="AG397" s="273"/>
      <c r="AH397" s="273"/>
      <c r="AI397" s="162"/>
      <c r="AJ397" s="162"/>
    </row>
    <row r="398" spans="15:34" s="39" customFormat="1" ht="24" customHeight="1">
      <c r="O398" s="252"/>
      <c r="W398" s="252"/>
      <c r="X398" s="252"/>
      <c r="Y398" s="252"/>
      <c r="AB398" s="274"/>
      <c r="AE398" s="256"/>
      <c r="AF398" s="38"/>
      <c r="AG398" s="38"/>
      <c r="AH398" s="38"/>
    </row>
    <row r="399" spans="15:34" s="39" customFormat="1" ht="24" customHeight="1">
      <c r="O399" s="252"/>
      <c r="W399" s="252"/>
      <c r="X399" s="252"/>
      <c r="Y399" s="252"/>
      <c r="AB399" s="274"/>
      <c r="AE399" s="256"/>
      <c r="AF399" s="275"/>
      <c r="AG399" s="275"/>
      <c r="AH399" s="275"/>
    </row>
    <row r="400" spans="15:36" s="39" customFormat="1" ht="24" customHeight="1">
      <c r="O400" s="252"/>
      <c r="W400" s="252"/>
      <c r="X400" s="252"/>
      <c r="Y400" s="252"/>
      <c r="AB400" s="204"/>
      <c r="AE400" s="256"/>
      <c r="AF400" s="280"/>
      <c r="AG400" s="280"/>
      <c r="AH400" s="280"/>
      <c r="AI400" s="206"/>
      <c r="AJ400" s="206"/>
    </row>
    <row r="401" spans="1:34" s="39" customFormat="1" ht="24" customHeight="1">
      <c r="A401" s="276"/>
      <c r="B401" s="276"/>
      <c r="C401" s="276"/>
      <c r="D401" s="276"/>
      <c r="E401" s="277"/>
      <c r="J401" s="229"/>
      <c r="K401" s="229"/>
      <c r="L401" s="229"/>
      <c r="M401" s="278"/>
      <c r="O401" s="252"/>
      <c r="W401" s="252"/>
      <c r="X401" s="252"/>
      <c r="Y401" s="252"/>
      <c r="AE401" s="256"/>
      <c r="AF401" s="38"/>
      <c r="AG401" s="38"/>
      <c r="AH401" s="38"/>
    </row>
  </sheetData>
  <sheetProtection/>
  <mergeCells count="30">
    <mergeCell ref="AC9:AC10"/>
    <mergeCell ref="Q9:Q10"/>
    <mergeCell ref="AE9:AE11"/>
    <mergeCell ref="V9:V10"/>
    <mergeCell ref="A5:AE5"/>
    <mergeCell ref="A6:AE6"/>
    <mergeCell ref="G9:G10"/>
    <mergeCell ref="H9:H10"/>
    <mergeCell ref="I9:I10"/>
    <mergeCell ref="F9:F10"/>
    <mergeCell ref="A9:A10"/>
    <mergeCell ref="C8:C11"/>
    <mergeCell ref="O9:O10"/>
    <mergeCell ref="B8:B11"/>
    <mergeCell ref="D8:D11"/>
    <mergeCell ref="L9:L10"/>
    <mergeCell ref="J9:J10"/>
    <mergeCell ref="E8:AE8"/>
    <mergeCell ref="U9:U10"/>
    <mergeCell ref="M9:M10"/>
    <mergeCell ref="K9:K10"/>
    <mergeCell ref="R9:R10"/>
    <mergeCell ref="AD9:AD10"/>
    <mergeCell ref="Y9:Y10"/>
    <mergeCell ref="AA9:AA10"/>
    <mergeCell ref="AB9:AB10"/>
    <mergeCell ref="Z9:Z10"/>
    <mergeCell ref="S9:S10"/>
    <mergeCell ref="W9:W10"/>
    <mergeCell ref="P9:P10"/>
  </mergeCells>
  <printOptions horizontalCentered="1"/>
  <pageMargins left="0" right="0" top="1.3779527559055118" bottom="0.3937007874015748" header="0.1968503937007874" footer="0"/>
  <pageSetup blackAndWhite="1" fitToHeight="17" horizontalDpi="600" verticalDpi="600" orientation="landscape" pageOrder="overThenDown" paperSize="9" scale="32" r:id="rId1"/>
  <headerFooter differentFirst="1" alignWithMargins="0">
    <oddFooter>&amp;C&amp;P</oddFooter>
  </headerFooter>
  <rowBreaks count="1" manualBreakCount="1">
    <brk id="207" min="1" max="30" man="1"/>
  </rowBreaks>
</worksheet>
</file>

<file path=xl/worksheets/sheet2.xml><?xml version="1.0" encoding="utf-8"?>
<worksheet xmlns="http://schemas.openxmlformats.org/spreadsheetml/2006/main" xmlns:r="http://schemas.openxmlformats.org/officeDocument/2006/relationships">
  <dimension ref="A1:AI287"/>
  <sheetViews>
    <sheetView view="pageBreakPreview" zoomScale="48" zoomScaleNormal="75" zoomScaleSheetLayoutView="48" zoomScalePageLayoutView="0" workbookViewId="0" topLeftCell="B1">
      <pane xSplit="12" ySplit="4" topLeftCell="N17" activePane="bottomRight" state="frozen"/>
      <selection pane="topLeft" activeCell="B1" sqref="B1"/>
      <selection pane="topRight" activeCell="N1" sqref="N1"/>
      <selection pane="bottomLeft" activeCell="B5" sqref="B5"/>
      <selection pane="bottomRight" activeCell="E36" sqref="E36"/>
    </sheetView>
  </sheetViews>
  <sheetFormatPr defaultColWidth="9.625" defaultRowHeight="12.75"/>
  <cols>
    <col min="1" max="1" width="11.625" style="281" hidden="1" customWidth="1"/>
    <col min="2" max="2" width="13.875" style="281" customWidth="1"/>
    <col min="3" max="3" width="12.125" style="368" customWidth="1"/>
    <col min="4" max="4" width="8.875" style="368" customWidth="1"/>
    <col min="5" max="5" width="65.375" style="348" customWidth="1"/>
    <col min="6" max="6" width="8.50390625" style="348" hidden="1" customWidth="1"/>
    <col min="7" max="7" width="14.125" style="281" customWidth="1"/>
    <col min="8" max="8" width="9.00390625" style="281" hidden="1" customWidth="1"/>
    <col min="9" max="9" width="9.375" style="281" hidden="1" customWidth="1"/>
    <col min="10" max="10" width="10.875" style="281" hidden="1" customWidth="1"/>
    <col min="11" max="11" width="6.125" style="281" hidden="1" customWidth="1"/>
    <col min="12" max="12" width="7.875" style="281" hidden="1" customWidth="1"/>
    <col min="13" max="13" width="14.50390625" style="369" customWidth="1"/>
    <col min="14" max="14" width="19.875" style="323" customWidth="1"/>
    <col min="15" max="15" width="14.50390625" style="323" hidden="1" customWidth="1"/>
    <col min="16" max="16" width="16.50390625" style="323" customWidth="1"/>
    <col min="17" max="17" width="16.875" style="323" customWidth="1"/>
    <col min="18" max="18" width="15.625" style="323" customWidth="1"/>
    <col min="19" max="19" width="16.50390625" style="323" hidden="1" customWidth="1"/>
    <col min="20" max="20" width="16.875" style="323" customWidth="1"/>
    <col min="21" max="21" width="14.50390625" style="323" customWidth="1"/>
    <col min="22" max="22" width="16.875" style="323" customWidth="1"/>
    <col min="23" max="23" width="17.00390625" style="323" hidden="1" customWidth="1"/>
    <col min="24" max="24" width="13.625" style="323" hidden="1" customWidth="1"/>
    <col min="25" max="25" width="23.50390625" style="370" customWidth="1"/>
    <col min="26" max="26" width="9.625" style="370" hidden="1" customWidth="1"/>
    <col min="27" max="27" width="20.375" style="371" bestFit="1" customWidth="1"/>
    <col min="28" max="29" width="21.50390625" style="284" customWidth="1"/>
    <col min="30" max="30" width="20.625" style="284" customWidth="1"/>
    <col min="31" max="31" width="22.00390625" style="284" customWidth="1"/>
    <col min="32" max="32" width="20.125" style="281" customWidth="1"/>
    <col min="33" max="33" width="15.125" style="281" customWidth="1"/>
    <col min="34" max="34" width="16.00390625" style="281" customWidth="1"/>
    <col min="35" max="35" width="22.50390625" style="281" customWidth="1"/>
    <col min="36" max="36" width="16.875" style="281" customWidth="1"/>
    <col min="37" max="48" width="10.00390625" style="281" customWidth="1"/>
    <col min="49" max="16384" width="9.625" style="281" customWidth="1"/>
  </cols>
  <sheetData>
    <row r="1" spans="2:31" s="281" customFormat="1" ht="39" customHeight="1">
      <c r="B1" s="282" t="s">
        <v>352</v>
      </c>
      <c r="C1" s="282" t="s">
        <v>353</v>
      </c>
      <c r="D1" s="282" t="s">
        <v>354</v>
      </c>
      <c r="E1" s="283" t="s">
        <v>417</v>
      </c>
      <c r="F1" s="283"/>
      <c r="G1" s="283"/>
      <c r="H1" s="283"/>
      <c r="I1" s="283"/>
      <c r="J1" s="283"/>
      <c r="K1" s="283"/>
      <c r="L1" s="283"/>
      <c r="M1" s="283"/>
      <c r="N1" s="283"/>
      <c r="O1" s="283"/>
      <c r="P1" s="283"/>
      <c r="Q1" s="283"/>
      <c r="R1" s="283"/>
      <c r="S1" s="283"/>
      <c r="T1" s="283"/>
      <c r="U1" s="283"/>
      <c r="V1" s="283"/>
      <c r="W1" s="283"/>
      <c r="X1" s="283"/>
      <c r="Y1" s="283"/>
      <c r="Z1" s="283"/>
      <c r="AA1" s="283"/>
      <c r="AB1" s="284"/>
      <c r="AC1" s="284"/>
      <c r="AD1" s="284"/>
      <c r="AE1" s="284"/>
    </row>
    <row r="2" spans="2:31" s="281" customFormat="1" ht="48" customHeight="1">
      <c r="B2" s="282"/>
      <c r="C2" s="282"/>
      <c r="D2" s="282"/>
      <c r="E2" s="285" t="s">
        <v>355</v>
      </c>
      <c r="F2" s="286" t="s">
        <v>249</v>
      </c>
      <c r="G2" s="287" t="s">
        <v>334</v>
      </c>
      <c r="H2" s="287" t="s">
        <v>335</v>
      </c>
      <c r="I2" s="288" t="s">
        <v>273</v>
      </c>
      <c r="J2" s="287" t="s">
        <v>325</v>
      </c>
      <c r="K2" s="289"/>
      <c r="L2" s="287" t="s">
        <v>255</v>
      </c>
      <c r="M2" s="287" t="s">
        <v>257</v>
      </c>
      <c r="N2" s="287" t="s">
        <v>245</v>
      </c>
      <c r="O2" s="287" t="s">
        <v>326</v>
      </c>
      <c r="P2" s="287" t="s">
        <v>327</v>
      </c>
      <c r="Q2" s="287" t="s">
        <v>328</v>
      </c>
      <c r="R2" s="287" t="s">
        <v>671</v>
      </c>
      <c r="S2" s="287" t="s">
        <v>329</v>
      </c>
      <c r="T2" s="287" t="s">
        <v>311</v>
      </c>
      <c r="U2" s="290" t="s">
        <v>443</v>
      </c>
      <c r="V2" s="287" t="s">
        <v>333</v>
      </c>
      <c r="W2" s="287" t="s">
        <v>312</v>
      </c>
      <c r="X2" s="287" t="s">
        <v>349</v>
      </c>
      <c r="Y2" s="287" t="s">
        <v>258</v>
      </c>
      <c r="Z2" s="291"/>
      <c r="AA2" s="292" t="s">
        <v>274</v>
      </c>
      <c r="AB2" s="284"/>
      <c r="AC2" s="284"/>
      <c r="AD2" s="284"/>
      <c r="AE2" s="284"/>
    </row>
    <row r="3" spans="2:31" s="293" customFormat="1" ht="69" customHeight="1">
      <c r="B3" s="282"/>
      <c r="C3" s="282"/>
      <c r="D3" s="282"/>
      <c r="E3" s="294" t="s">
        <v>356</v>
      </c>
      <c r="F3" s="287"/>
      <c r="G3" s="287"/>
      <c r="H3" s="287"/>
      <c r="I3" s="288"/>
      <c r="J3" s="287"/>
      <c r="K3" s="295" t="s">
        <v>253</v>
      </c>
      <c r="L3" s="287"/>
      <c r="M3" s="287"/>
      <c r="N3" s="287"/>
      <c r="O3" s="287"/>
      <c r="P3" s="287"/>
      <c r="Q3" s="287"/>
      <c r="R3" s="287"/>
      <c r="S3" s="287"/>
      <c r="T3" s="287"/>
      <c r="U3" s="286"/>
      <c r="V3" s="287"/>
      <c r="W3" s="287"/>
      <c r="X3" s="287"/>
      <c r="Y3" s="287"/>
      <c r="Z3" s="295" t="s">
        <v>301</v>
      </c>
      <c r="AA3" s="292"/>
      <c r="AB3" s="296"/>
      <c r="AC3" s="296"/>
      <c r="AD3" s="296"/>
      <c r="AE3" s="296"/>
    </row>
    <row r="4" spans="2:31" s="297" customFormat="1" ht="26.25" customHeight="1">
      <c r="B4" s="282"/>
      <c r="C4" s="282"/>
      <c r="D4" s="282"/>
      <c r="E4" s="294"/>
      <c r="F4" s="298">
        <v>2210</v>
      </c>
      <c r="G4" s="299">
        <v>2240</v>
      </c>
      <c r="H4" s="299">
        <v>2281</v>
      </c>
      <c r="I4" s="299">
        <v>2282</v>
      </c>
      <c r="J4" s="299">
        <v>2610</v>
      </c>
      <c r="K4" s="299">
        <v>2620</v>
      </c>
      <c r="L4" s="299">
        <v>2730</v>
      </c>
      <c r="M4" s="300">
        <v>2000</v>
      </c>
      <c r="N4" s="299">
        <v>3110</v>
      </c>
      <c r="O4" s="299">
        <v>3121</v>
      </c>
      <c r="P4" s="299">
        <v>3122</v>
      </c>
      <c r="Q4" s="299">
        <v>3131</v>
      </c>
      <c r="R4" s="299">
        <v>3132</v>
      </c>
      <c r="S4" s="299">
        <v>3141</v>
      </c>
      <c r="T4" s="299">
        <v>3142</v>
      </c>
      <c r="U4" s="299">
        <v>3160</v>
      </c>
      <c r="V4" s="299">
        <v>3210</v>
      </c>
      <c r="W4" s="301">
        <v>3220</v>
      </c>
      <c r="X4" s="301">
        <v>3240</v>
      </c>
      <c r="Y4" s="287"/>
      <c r="Z4" s="300">
        <v>3000</v>
      </c>
      <c r="AA4" s="292"/>
      <c r="AB4" s="302"/>
      <c r="AC4" s="302"/>
      <c r="AD4" s="302"/>
      <c r="AE4" s="302"/>
    </row>
    <row r="5" spans="1:31" s="281" customFormat="1" ht="51.75" customHeight="1" hidden="1">
      <c r="A5" s="76"/>
      <c r="B5" s="77" t="s">
        <v>449</v>
      </c>
      <c r="C5" s="77"/>
      <c r="D5" s="77"/>
      <c r="E5" s="78" t="s">
        <v>557</v>
      </c>
      <c r="F5" s="78"/>
      <c r="G5" s="303"/>
      <c r="H5" s="304"/>
      <c r="I5" s="304"/>
      <c r="J5" s="304"/>
      <c r="K5" s="304"/>
      <c r="L5" s="304"/>
      <c r="M5" s="303"/>
      <c r="N5" s="304"/>
      <c r="O5" s="304"/>
      <c r="P5" s="304"/>
      <c r="Q5" s="304"/>
      <c r="R5" s="304"/>
      <c r="S5" s="304"/>
      <c r="T5" s="305"/>
      <c r="U5" s="305"/>
      <c r="V5" s="305"/>
      <c r="W5" s="305"/>
      <c r="X5" s="305"/>
      <c r="Y5" s="306"/>
      <c r="Z5" s="306"/>
      <c r="AA5" s="307"/>
      <c r="AB5" s="284"/>
      <c r="AC5" s="284"/>
      <c r="AD5" s="284"/>
      <c r="AE5" s="284"/>
    </row>
    <row r="6" spans="1:34" s="281" customFormat="1" ht="47.25" customHeight="1" hidden="1">
      <c r="A6" s="76"/>
      <c r="B6" s="93" t="s">
        <v>448</v>
      </c>
      <c r="C6" s="77"/>
      <c r="D6" s="77"/>
      <c r="E6" s="78" t="s">
        <v>557</v>
      </c>
      <c r="F6" s="78"/>
      <c r="G6" s="303"/>
      <c r="H6" s="304"/>
      <c r="I6" s="304"/>
      <c r="J6" s="304"/>
      <c r="K6" s="304"/>
      <c r="L6" s="304"/>
      <c r="M6" s="303"/>
      <c r="N6" s="308"/>
      <c r="O6" s="308"/>
      <c r="P6" s="308"/>
      <c r="Q6" s="308"/>
      <c r="R6" s="308"/>
      <c r="S6" s="308"/>
      <c r="T6" s="309"/>
      <c r="U6" s="309"/>
      <c r="V6" s="310"/>
      <c r="W6" s="310"/>
      <c r="X6" s="310"/>
      <c r="Y6" s="310"/>
      <c r="Z6" s="311"/>
      <c r="AA6" s="310"/>
      <c r="AB6" s="284"/>
      <c r="AC6" s="284"/>
      <c r="AD6" s="284"/>
      <c r="AE6" s="284"/>
      <c r="AG6" s="312"/>
      <c r="AH6" s="313"/>
    </row>
    <row r="7" spans="1:34" s="281" customFormat="1" ht="81.75" customHeight="1" hidden="1">
      <c r="A7" s="76" t="s">
        <v>260</v>
      </c>
      <c r="B7" s="101" t="s">
        <v>445</v>
      </c>
      <c r="C7" s="101" t="s">
        <v>446</v>
      </c>
      <c r="D7" s="101" t="s">
        <v>261</v>
      </c>
      <c r="E7" s="102" t="s">
        <v>220</v>
      </c>
      <c r="F7" s="102"/>
      <c r="G7" s="314"/>
      <c r="H7" s="314"/>
      <c r="I7" s="314"/>
      <c r="J7" s="314"/>
      <c r="K7" s="314"/>
      <c r="L7" s="314"/>
      <c r="M7" s="314">
        <f aca="true" t="shared" si="0" ref="M7:M15">SUM(G7:L7)</f>
        <v>0</v>
      </c>
      <c r="N7" s="314">
        <f>SUM(N8:N9)</f>
        <v>0</v>
      </c>
      <c r="O7" s="314">
        <f aca="true" t="shared" si="1" ref="O7:X7">SUM(O8:O9)</f>
        <v>0</v>
      </c>
      <c r="P7" s="314">
        <f t="shared" si="1"/>
        <v>0</v>
      </c>
      <c r="Q7" s="314">
        <f t="shared" si="1"/>
        <v>0</v>
      </c>
      <c r="R7" s="314">
        <f t="shared" si="1"/>
        <v>0</v>
      </c>
      <c r="S7" s="314">
        <f t="shared" si="1"/>
        <v>0</v>
      </c>
      <c r="T7" s="314">
        <f t="shared" si="1"/>
        <v>0</v>
      </c>
      <c r="U7" s="314">
        <f t="shared" si="1"/>
        <v>0</v>
      </c>
      <c r="V7" s="314">
        <f t="shared" si="1"/>
        <v>0</v>
      </c>
      <c r="W7" s="314">
        <f t="shared" si="1"/>
        <v>0</v>
      </c>
      <c r="X7" s="314">
        <f t="shared" si="1"/>
        <v>0</v>
      </c>
      <c r="Y7" s="315">
        <f aca="true" t="shared" si="2" ref="Y7:Y15">SUM(N7:X7)</f>
        <v>0</v>
      </c>
      <c r="Z7" s="315"/>
      <c r="AA7" s="316">
        <f aca="true" t="shared" si="3" ref="AA7:AA16">M7+Y7</f>
        <v>0</v>
      </c>
      <c r="AB7" s="317"/>
      <c r="AC7" s="317"/>
      <c r="AD7" s="317"/>
      <c r="AE7" s="317"/>
      <c r="AG7" s="304"/>
      <c r="AH7" s="304"/>
    </row>
    <row r="8" spans="1:34" s="281" customFormat="1" ht="36" hidden="1">
      <c r="A8" s="76"/>
      <c r="B8" s="101"/>
      <c r="C8" s="101"/>
      <c r="D8" s="101"/>
      <c r="E8" s="108" t="s">
        <v>447</v>
      </c>
      <c r="F8" s="108"/>
      <c r="G8" s="314"/>
      <c r="H8" s="314"/>
      <c r="I8" s="314"/>
      <c r="J8" s="314"/>
      <c r="K8" s="314"/>
      <c r="L8" s="314"/>
      <c r="M8" s="314">
        <f t="shared" si="0"/>
        <v>0</v>
      </c>
      <c r="N8" s="314"/>
      <c r="O8" s="314"/>
      <c r="P8" s="314"/>
      <c r="Q8" s="314"/>
      <c r="R8" s="314"/>
      <c r="S8" s="314"/>
      <c r="T8" s="318"/>
      <c r="U8" s="318"/>
      <c r="V8" s="318"/>
      <c r="W8" s="318"/>
      <c r="X8" s="318"/>
      <c r="Y8" s="315">
        <f t="shared" si="2"/>
        <v>0</v>
      </c>
      <c r="Z8" s="315"/>
      <c r="AA8" s="316">
        <f t="shared" si="3"/>
        <v>0</v>
      </c>
      <c r="AB8" s="319"/>
      <c r="AC8" s="319"/>
      <c r="AD8" s="320"/>
      <c r="AE8" s="320"/>
      <c r="AH8" s="304"/>
    </row>
    <row r="9" spans="1:34" s="281" customFormat="1" ht="42.75" customHeight="1" hidden="1">
      <c r="A9" s="76"/>
      <c r="B9" s="101"/>
      <c r="C9" s="101"/>
      <c r="D9" s="101"/>
      <c r="E9" s="102" t="s">
        <v>478</v>
      </c>
      <c r="F9" s="102"/>
      <c r="G9" s="314"/>
      <c r="H9" s="314"/>
      <c r="I9" s="314"/>
      <c r="J9" s="314"/>
      <c r="K9" s="314"/>
      <c r="L9" s="314"/>
      <c r="M9" s="314">
        <f t="shared" si="0"/>
        <v>0</v>
      </c>
      <c r="N9" s="314"/>
      <c r="O9" s="314"/>
      <c r="P9" s="314"/>
      <c r="Q9" s="314"/>
      <c r="R9" s="314"/>
      <c r="S9" s="314"/>
      <c r="T9" s="318"/>
      <c r="U9" s="318"/>
      <c r="V9" s="318"/>
      <c r="W9" s="318"/>
      <c r="X9" s="318"/>
      <c r="Y9" s="315">
        <f t="shared" si="2"/>
        <v>0</v>
      </c>
      <c r="Z9" s="315"/>
      <c r="AA9" s="316">
        <f t="shared" si="3"/>
        <v>0</v>
      </c>
      <c r="AB9" s="317"/>
      <c r="AC9" s="317"/>
      <c r="AD9" s="317"/>
      <c r="AE9" s="317"/>
      <c r="AH9" s="304"/>
    </row>
    <row r="10" spans="1:34" s="281" customFormat="1" ht="36" hidden="1">
      <c r="A10" s="76"/>
      <c r="B10" s="101" t="s">
        <v>435</v>
      </c>
      <c r="C10" s="101" t="s">
        <v>357</v>
      </c>
      <c r="D10" s="101" t="s">
        <v>268</v>
      </c>
      <c r="E10" s="102" t="s">
        <v>437</v>
      </c>
      <c r="F10" s="102"/>
      <c r="G10" s="314"/>
      <c r="H10" s="314">
        <f>H11</f>
        <v>0</v>
      </c>
      <c r="I10" s="314">
        <f>I11</f>
        <v>0</v>
      </c>
      <c r="J10" s="314"/>
      <c r="K10" s="314"/>
      <c r="L10" s="314"/>
      <c r="M10" s="314">
        <f t="shared" si="0"/>
        <v>0</v>
      </c>
      <c r="N10" s="314">
        <f>N11</f>
        <v>0</v>
      </c>
      <c r="O10" s="314">
        <f>O11</f>
        <v>0</v>
      </c>
      <c r="P10" s="314">
        <f aca="true" t="shared" si="4" ref="P10:W10">P11</f>
        <v>0</v>
      </c>
      <c r="Q10" s="314">
        <f t="shared" si="4"/>
        <v>0</v>
      </c>
      <c r="R10" s="314">
        <f t="shared" si="4"/>
        <v>0</v>
      </c>
      <c r="S10" s="314">
        <f t="shared" si="4"/>
        <v>0</v>
      </c>
      <c r="T10" s="314">
        <f t="shared" si="4"/>
        <v>0</v>
      </c>
      <c r="U10" s="314"/>
      <c r="V10" s="314">
        <f t="shared" si="4"/>
        <v>0</v>
      </c>
      <c r="W10" s="314">
        <f t="shared" si="4"/>
        <v>0</v>
      </c>
      <c r="X10" s="318"/>
      <c r="Y10" s="315">
        <f>SUM(N10:X10)</f>
        <v>0</v>
      </c>
      <c r="Z10" s="315"/>
      <c r="AA10" s="316">
        <f t="shared" si="3"/>
        <v>0</v>
      </c>
      <c r="AB10" s="284"/>
      <c r="AC10" s="284"/>
      <c r="AD10" s="284"/>
      <c r="AE10" s="284"/>
      <c r="AH10" s="304"/>
    </row>
    <row r="11" spans="1:34" s="281" customFormat="1" ht="75" customHeight="1" hidden="1">
      <c r="A11" s="76"/>
      <c r="B11" s="101"/>
      <c r="C11" s="101"/>
      <c r="D11" s="101"/>
      <c r="E11" s="102" t="s">
        <v>436</v>
      </c>
      <c r="F11" s="102"/>
      <c r="G11" s="314"/>
      <c r="H11" s="314"/>
      <c r="I11" s="314"/>
      <c r="J11" s="314"/>
      <c r="K11" s="314"/>
      <c r="L11" s="314"/>
      <c r="M11" s="314">
        <f t="shared" si="0"/>
        <v>0</v>
      </c>
      <c r="N11" s="314"/>
      <c r="O11" s="314"/>
      <c r="P11" s="314"/>
      <c r="Q11" s="314"/>
      <c r="R11" s="314"/>
      <c r="S11" s="314"/>
      <c r="T11" s="318"/>
      <c r="U11" s="318"/>
      <c r="V11" s="318"/>
      <c r="W11" s="318"/>
      <c r="X11" s="318"/>
      <c r="Y11" s="315">
        <f>SUM(N11:X11)</f>
        <v>0</v>
      </c>
      <c r="Z11" s="315"/>
      <c r="AA11" s="316">
        <f t="shared" si="3"/>
        <v>0</v>
      </c>
      <c r="AB11" s="284"/>
      <c r="AC11" s="284"/>
      <c r="AD11" s="284"/>
      <c r="AE11" s="284"/>
      <c r="AH11" s="304"/>
    </row>
    <row r="12" spans="1:34" s="281" customFormat="1" ht="42.75" customHeight="1" hidden="1">
      <c r="A12" s="76"/>
      <c r="B12" s="101" t="s">
        <v>507</v>
      </c>
      <c r="C12" s="101" t="s">
        <v>508</v>
      </c>
      <c r="D12" s="101" t="s">
        <v>188</v>
      </c>
      <c r="E12" s="117" t="s">
        <v>509</v>
      </c>
      <c r="F12" s="117"/>
      <c r="G12" s="314"/>
      <c r="H12" s="314">
        <f>H13</f>
        <v>0</v>
      </c>
      <c r="I12" s="314"/>
      <c r="J12" s="314"/>
      <c r="K12" s="314"/>
      <c r="L12" s="314"/>
      <c r="M12" s="314"/>
      <c r="N12" s="314"/>
      <c r="O12" s="314"/>
      <c r="P12" s="314"/>
      <c r="Q12" s="314"/>
      <c r="R12" s="314"/>
      <c r="S12" s="314"/>
      <c r="T12" s="318"/>
      <c r="U12" s="318"/>
      <c r="V12" s="318"/>
      <c r="W12" s="318"/>
      <c r="X12" s="318"/>
      <c r="Y12" s="315">
        <f>SUM(H12:X12)</f>
        <v>0</v>
      </c>
      <c r="Z12" s="315"/>
      <c r="AA12" s="316">
        <f t="shared" si="3"/>
        <v>0</v>
      </c>
      <c r="AB12" s="284"/>
      <c r="AC12" s="284"/>
      <c r="AD12" s="284"/>
      <c r="AE12" s="284"/>
      <c r="AH12" s="304"/>
    </row>
    <row r="13" spans="1:34" s="281" customFormat="1" ht="105" customHeight="1" hidden="1">
      <c r="A13" s="76"/>
      <c r="B13" s="101"/>
      <c r="C13" s="101"/>
      <c r="D13" s="101"/>
      <c r="E13" s="118" t="s">
        <v>513</v>
      </c>
      <c r="F13" s="118"/>
      <c r="G13" s="314"/>
      <c r="H13" s="314"/>
      <c r="I13" s="314"/>
      <c r="J13" s="314"/>
      <c r="K13" s="314"/>
      <c r="L13" s="314"/>
      <c r="M13" s="314"/>
      <c r="N13" s="314"/>
      <c r="O13" s="314"/>
      <c r="P13" s="314"/>
      <c r="Q13" s="314"/>
      <c r="R13" s="314"/>
      <c r="S13" s="314"/>
      <c r="T13" s="318"/>
      <c r="U13" s="318"/>
      <c r="V13" s="318"/>
      <c r="W13" s="318"/>
      <c r="X13" s="318"/>
      <c r="Y13" s="315">
        <f>SUM(H13:X13)</f>
        <v>0</v>
      </c>
      <c r="Z13" s="315"/>
      <c r="AA13" s="316">
        <f>M13+Y13</f>
        <v>0</v>
      </c>
      <c r="AB13" s="284"/>
      <c r="AC13" s="284"/>
      <c r="AD13" s="284"/>
      <c r="AE13" s="284"/>
      <c r="AH13" s="304"/>
    </row>
    <row r="14" spans="1:34" s="281" customFormat="1" ht="54" hidden="1">
      <c r="A14" s="76"/>
      <c r="B14" s="101" t="s">
        <v>515</v>
      </c>
      <c r="C14" s="101" t="s">
        <v>358</v>
      </c>
      <c r="D14" s="101" t="s">
        <v>263</v>
      </c>
      <c r="E14" s="102" t="s">
        <v>433</v>
      </c>
      <c r="F14" s="102"/>
      <c r="G14" s="314"/>
      <c r="H14" s="314"/>
      <c r="I14" s="314"/>
      <c r="J14" s="314"/>
      <c r="K14" s="314"/>
      <c r="L14" s="314"/>
      <c r="M14" s="314">
        <f t="shared" si="0"/>
        <v>0</v>
      </c>
      <c r="N14" s="318">
        <f aca="true" t="shared" si="5" ref="N14:X14">N15</f>
        <v>0</v>
      </c>
      <c r="O14" s="318">
        <f t="shared" si="5"/>
        <v>0</v>
      </c>
      <c r="P14" s="318">
        <f t="shared" si="5"/>
        <v>0</v>
      </c>
      <c r="Q14" s="318">
        <f t="shared" si="5"/>
        <v>0</v>
      </c>
      <c r="R14" s="318">
        <f t="shared" si="5"/>
        <v>0</v>
      </c>
      <c r="S14" s="318">
        <f t="shared" si="5"/>
        <v>0</v>
      </c>
      <c r="T14" s="318">
        <f t="shared" si="5"/>
        <v>0</v>
      </c>
      <c r="U14" s="318"/>
      <c r="V14" s="318">
        <f t="shared" si="5"/>
        <v>0</v>
      </c>
      <c r="W14" s="318">
        <f>W15</f>
        <v>0</v>
      </c>
      <c r="X14" s="318">
        <f t="shared" si="5"/>
        <v>0</v>
      </c>
      <c r="Y14" s="315">
        <f t="shared" si="2"/>
        <v>0</v>
      </c>
      <c r="Z14" s="315"/>
      <c r="AA14" s="316">
        <f t="shared" si="3"/>
        <v>0</v>
      </c>
      <c r="AB14" s="284"/>
      <c r="AC14" s="284"/>
      <c r="AD14" s="284"/>
      <c r="AE14" s="284"/>
      <c r="AH14" s="304"/>
    </row>
    <row r="15" spans="1:34" s="281" customFormat="1" ht="52.5" customHeight="1" hidden="1">
      <c r="A15" s="76"/>
      <c r="B15" s="101"/>
      <c r="C15" s="101"/>
      <c r="D15" s="101"/>
      <c r="E15" s="108" t="s">
        <v>410</v>
      </c>
      <c r="F15" s="108"/>
      <c r="G15" s="314"/>
      <c r="H15" s="314"/>
      <c r="I15" s="314"/>
      <c r="J15" s="314"/>
      <c r="K15" s="314"/>
      <c r="L15" s="314"/>
      <c r="M15" s="314">
        <f t="shared" si="0"/>
        <v>0</v>
      </c>
      <c r="N15" s="314"/>
      <c r="O15" s="314"/>
      <c r="P15" s="314"/>
      <c r="Q15" s="314"/>
      <c r="R15" s="314"/>
      <c r="S15" s="314"/>
      <c r="T15" s="318"/>
      <c r="U15" s="318"/>
      <c r="V15" s="318"/>
      <c r="W15" s="318"/>
      <c r="X15" s="318"/>
      <c r="Y15" s="315">
        <f t="shared" si="2"/>
        <v>0</v>
      </c>
      <c r="Z15" s="315"/>
      <c r="AA15" s="316">
        <f t="shared" si="3"/>
        <v>0</v>
      </c>
      <c r="AB15" s="284"/>
      <c r="AC15" s="284"/>
      <c r="AD15" s="284"/>
      <c r="AE15" s="284"/>
      <c r="AH15" s="304"/>
    </row>
    <row r="16" spans="1:35" s="281" customFormat="1" ht="22.5" customHeight="1" hidden="1">
      <c r="A16" s="76"/>
      <c r="B16" s="101"/>
      <c r="C16" s="101"/>
      <c r="D16" s="101"/>
      <c r="E16" s="134" t="s">
        <v>359</v>
      </c>
      <c r="F16" s="134"/>
      <c r="G16" s="314">
        <f aca="true" t="shared" si="6" ref="G16:L16">G7</f>
        <v>0</v>
      </c>
      <c r="H16" s="314">
        <f>H7+H11+H12</f>
        <v>0</v>
      </c>
      <c r="I16" s="314">
        <f>I10</f>
        <v>0</v>
      </c>
      <c r="J16" s="314">
        <f>J7</f>
        <v>0</v>
      </c>
      <c r="K16" s="314">
        <f t="shared" si="6"/>
        <v>0</v>
      </c>
      <c r="L16" s="314">
        <f t="shared" si="6"/>
        <v>0</v>
      </c>
      <c r="M16" s="314"/>
      <c r="N16" s="321">
        <f>N7</f>
        <v>0</v>
      </c>
      <c r="O16" s="321">
        <f aca="true" t="shared" si="7" ref="O16:X16">O7</f>
        <v>0</v>
      </c>
      <c r="P16" s="321">
        <f t="shared" si="7"/>
        <v>0</v>
      </c>
      <c r="Q16" s="321">
        <f t="shared" si="7"/>
        <v>0</v>
      </c>
      <c r="R16" s="321">
        <f t="shared" si="7"/>
        <v>0</v>
      </c>
      <c r="S16" s="321">
        <f t="shared" si="7"/>
        <v>0</v>
      </c>
      <c r="T16" s="321">
        <f t="shared" si="7"/>
        <v>0</v>
      </c>
      <c r="U16" s="321">
        <f t="shared" si="7"/>
        <v>0</v>
      </c>
      <c r="V16" s="321">
        <f t="shared" si="7"/>
        <v>0</v>
      </c>
      <c r="W16" s="321">
        <f t="shared" si="7"/>
        <v>0</v>
      </c>
      <c r="X16" s="321">
        <f t="shared" si="7"/>
        <v>0</v>
      </c>
      <c r="Y16" s="316">
        <f>SUM(H16:X16)+I16</f>
        <v>0</v>
      </c>
      <c r="Z16" s="314">
        <f>Z7</f>
        <v>0</v>
      </c>
      <c r="AA16" s="316">
        <f t="shared" si="3"/>
        <v>0</v>
      </c>
      <c r="AB16" s="284"/>
      <c r="AC16" s="284"/>
      <c r="AD16" s="284"/>
      <c r="AE16" s="284"/>
      <c r="AI16" s="304"/>
    </row>
    <row r="17" spans="1:31" s="281" customFormat="1" ht="39.75" customHeight="1">
      <c r="A17" s="136" t="s">
        <v>246</v>
      </c>
      <c r="B17" s="77" t="s">
        <v>5</v>
      </c>
      <c r="C17" s="77"/>
      <c r="D17" s="77"/>
      <c r="E17" s="78" t="s">
        <v>552</v>
      </c>
      <c r="F17" s="78"/>
      <c r="G17" s="314"/>
      <c r="H17" s="314"/>
      <c r="I17" s="314"/>
      <c r="J17" s="314"/>
      <c r="K17" s="314"/>
      <c r="L17" s="314"/>
      <c r="M17" s="314"/>
      <c r="N17" s="314"/>
      <c r="O17" s="314"/>
      <c r="P17" s="314"/>
      <c r="Q17" s="314"/>
      <c r="R17" s="314"/>
      <c r="S17" s="314"/>
      <c r="T17" s="318"/>
      <c r="U17" s="318"/>
      <c r="V17" s="318"/>
      <c r="W17" s="318"/>
      <c r="X17" s="318"/>
      <c r="Y17" s="315"/>
      <c r="Z17" s="315"/>
      <c r="AA17" s="316"/>
      <c r="AB17" s="284"/>
      <c r="AC17" s="284"/>
      <c r="AD17" s="284"/>
      <c r="AE17" s="284"/>
    </row>
    <row r="18" spans="1:31" s="281" customFormat="1" ht="37.5" customHeight="1">
      <c r="A18" s="136" t="s">
        <v>246</v>
      </c>
      <c r="B18" s="93" t="s">
        <v>456</v>
      </c>
      <c r="C18" s="77"/>
      <c r="D18" s="77"/>
      <c r="E18" s="78" t="s">
        <v>551</v>
      </c>
      <c r="F18" s="78"/>
      <c r="G18" s="314"/>
      <c r="H18" s="314"/>
      <c r="I18" s="314"/>
      <c r="J18" s="314"/>
      <c r="K18" s="314"/>
      <c r="L18" s="314"/>
      <c r="M18" s="314"/>
      <c r="N18" s="314"/>
      <c r="O18" s="314"/>
      <c r="P18" s="314"/>
      <c r="Q18" s="314"/>
      <c r="R18" s="314"/>
      <c r="S18" s="314"/>
      <c r="T18" s="318"/>
      <c r="U18" s="318"/>
      <c r="V18" s="318"/>
      <c r="W18" s="318"/>
      <c r="X18" s="318"/>
      <c r="Y18" s="315"/>
      <c r="Z18" s="315"/>
      <c r="AA18" s="316"/>
      <c r="AB18" s="284"/>
      <c r="AC18" s="284"/>
      <c r="AD18" s="284"/>
      <c r="AE18" s="284"/>
    </row>
    <row r="19" spans="1:31" s="281" customFormat="1" ht="36" customHeight="1" hidden="1">
      <c r="A19" s="76" t="s">
        <v>260</v>
      </c>
      <c r="B19" s="101" t="s">
        <v>453</v>
      </c>
      <c r="C19" s="101" t="s">
        <v>317</v>
      </c>
      <c r="D19" s="101" t="s">
        <v>261</v>
      </c>
      <c r="E19" s="102" t="s">
        <v>454</v>
      </c>
      <c r="F19" s="102"/>
      <c r="G19" s="314"/>
      <c r="H19" s="314"/>
      <c r="I19" s="314"/>
      <c r="J19" s="314"/>
      <c r="K19" s="314"/>
      <c r="L19" s="314"/>
      <c r="M19" s="314">
        <f aca="true" t="shared" si="8" ref="M19:M59">SUM(G19:L19)</f>
        <v>0</v>
      </c>
      <c r="N19" s="314">
        <f>N20</f>
        <v>0</v>
      </c>
      <c r="O19" s="314">
        <f aca="true" t="shared" si="9" ref="O19:X19">O20</f>
        <v>0</v>
      </c>
      <c r="P19" s="314">
        <f t="shared" si="9"/>
        <v>0</v>
      </c>
      <c r="Q19" s="314">
        <f t="shared" si="9"/>
        <v>0</v>
      </c>
      <c r="R19" s="314">
        <f t="shared" si="9"/>
        <v>0</v>
      </c>
      <c r="S19" s="314">
        <f t="shared" si="9"/>
        <v>0</v>
      </c>
      <c r="T19" s="314">
        <f t="shared" si="9"/>
        <v>0</v>
      </c>
      <c r="U19" s="314">
        <f t="shared" si="9"/>
        <v>0</v>
      </c>
      <c r="V19" s="314">
        <f t="shared" si="9"/>
        <v>0</v>
      </c>
      <c r="W19" s="314">
        <f t="shared" si="9"/>
        <v>0</v>
      </c>
      <c r="X19" s="314">
        <f t="shared" si="9"/>
        <v>0</v>
      </c>
      <c r="Y19" s="315">
        <f aca="true" t="shared" si="10" ref="Y19:Y35">SUM(N19:X19)</f>
        <v>0</v>
      </c>
      <c r="Z19" s="315"/>
      <c r="AA19" s="316">
        <f aca="true" t="shared" si="11" ref="AA19:AA35">M19+Y19</f>
        <v>0</v>
      </c>
      <c r="AB19" s="284"/>
      <c r="AC19" s="284"/>
      <c r="AD19" s="284"/>
      <c r="AE19" s="284"/>
    </row>
    <row r="20" spans="1:31" s="281" customFormat="1" ht="36" customHeight="1" hidden="1">
      <c r="A20" s="76"/>
      <c r="B20" s="101"/>
      <c r="C20" s="101"/>
      <c r="D20" s="101"/>
      <c r="E20" s="102" t="s">
        <v>455</v>
      </c>
      <c r="F20" s="102"/>
      <c r="G20" s="314"/>
      <c r="H20" s="314"/>
      <c r="I20" s="314"/>
      <c r="J20" s="314"/>
      <c r="K20" s="314"/>
      <c r="L20" s="314"/>
      <c r="M20" s="314"/>
      <c r="N20" s="314"/>
      <c r="O20" s="314"/>
      <c r="P20" s="314"/>
      <c r="Q20" s="314"/>
      <c r="R20" s="314"/>
      <c r="S20" s="314"/>
      <c r="T20" s="318"/>
      <c r="U20" s="318"/>
      <c r="V20" s="318"/>
      <c r="W20" s="318"/>
      <c r="X20" s="318"/>
      <c r="Y20" s="315">
        <f t="shared" si="10"/>
        <v>0</v>
      </c>
      <c r="Z20" s="315"/>
      <c r="AA20" s="316">
        <f t="shared" si="11"/>
        <v>0</v>
      </c>
      <c r="AB20" s="284"/>
      <c r="AC20" s="284"/>
      <c r="AD20" s="284"/>
      <c r="AE20" s="284"/>
    </row>
    <row r="21" spans="1:33" s="281" customFormat="1" ht="36" customHeight="1" hidden="1">
      <c r="A21" s="76" t="s">
        <v>276</v>
      </c>
      <c r="B21" s="101" t="s">
        <v>457</v>
      </c>
      <c r="C21" s="101" t="s">
        <v>318</v>
      </c>
      <c r="D21" s="101" t="s">
        <v>285</v>
      </c>
      <c r="E21" s="116" t="s">
        <v>458</v>
      </c>
      <c r="F21" s="116"/>
      <c r="G21" s="314">
        <f>SUM(G22:G24)</f>
        <v>0</v>
      </c>
      <c r="H21" s="314">
        <f>SUM(H22:H24)</f>
        <v>0</v>
      </c>
      <c r="I21" s="314">
        <f aca="true" t="shared" si="12" ref="I21:Z21">SUM(I22:I24)</f>
        <v>0</v>
      </c>
      <c r="J21" s="314">
        <f t="shared" si="12"/>
        <v>0</v>
      </c>
      <c r="K21" s="314">
        <f t="shared" si="12"/>
        <v>0</v>
      </c>
      <c r="L21" s="314">
        <f t="shared" si="12"/>
        <v>0</v>
      </c>
      <c r="M21" s="314">
        <f t="shared" si="8"/>
        <v>0</v>
      </c>
      <c r="N21" s="314">
        <f>SUM(N22:N24)</f>
        <v>0</v>
      </c>
      <c r="O21" s="314">
        <f t="shared" si="12"/>
        <v>0</v>
      </c>
      <c r="P21" s="314">
        <f t="shared" si="12"/>
        <v>0</v>
      </c>
      <c r="Q21" s="314">
        <f t="shared" si="12"/>
        <v>0</v>
      </c>
      <c r="R21" s="314">
        <f t="shared" si="12"/>
        <v>0</v>
      </c>
      <c r="S21" s="314">
        <f t="shared" si="12"/>
        <v>0</v>
      </c>
      <c r="T21" s="314">
        <f t="shared" si="12"/>
        <v>0</v>
      </c>
      <c r="U21" s="314"/>
      <c r="V21" s="314">
        <f t="shared" si="12"/>
        <v>0</v>
      </c>
      <c r="W21" s="314">
        <f t="shared" si="12"/>
        <v>0</v>
      </c>
      <c r="X21" s="314">
        <f t="shared" si="12"/>
        <v>0</v>
      </c>
      <c r="Y21" s="315">
        <f t="shared" si="10"/>
        <v>0</v>
      </c>
      <c r="Z21" s="314">
        <f t="shared" si="12"/>
        <v>0</v>
      </c>
      <c r="AA21" s="316">
        <f t="shared" si="11"/>
        <v>0</v>
      </c>
      <c r="AB21" s="322"/>
      <c r="AC21" s="322"/>
      <c r="AD21" s="322"/>
      <c r="AE21" s="322"/>
      <c r="AF21" s="304"/>
      <c r="AG21" s="304"/>
    </row>
    <row r="22" spans="1:31" s="281" customFormat="1" ht="25.5" customHeight="1" hidden="1">
      <c r="A22" s="140"/>
      <c r="B22" s="107"/>
      <c r="C22" s="107"/>
      <c r="D22" s="107"/>
      <c r="E22" s="1" t="s">
        <v>571</v>
      </c>
      <c r="F22" s="1"/>
      <c r="G22" s="314"/>
      <c r="H22" s="314"/>
      <c r="I22" s="314"/>
      <c r="J22" s="314"/>
      <c r="K22" s="314"/>
      <c r="L22" s="314"/>
      <c r="M22" s="314">
        <f t="shared" si="8"/>
        <v>0</v>
      </c>
      <c r="N22" s="314"/>
      <c r="O22" s="314"/>
      <c r="P22" s="314"/>
      <c r="Q22" s="314"/>
      <c r="R22" s="314"/>
      <c r="S22" s="314"/>
      <c r="T22" s="314"/>
      <c r="U22" s="314"/>
      <c r="V22" s="314"/>
      <c r="W22" s="314"/>
      <c r="X22" s="314"/>
      <c r="Y22" s="315">
        <f t="shared" si="10"/>
        <v>0</v>
      </c>
      <c r="Z22" s="314"/>
      <c r="AA22" s="316">
        <f t="shared" si="11"/>
        <v>0</v>
      </c>
      <c r="AB22" s="322"/>
      <c r="AC22" s="322"/>
      <c r="AD22" s="322"/>
      <c r="AE22" s="322"/>
    </row>
    <row r="23" spans="1:31" s="281" customFormat="1" ht="53.25" customHeight="1" hidden="1">
      <c r="A23" s="140"/>
      <c r="B23" s="107"/>
      <c r="C23" s="107"/>
      <c r="D23" s="107"/>
      <c r="E23" s="1" t="s">
        <v>479</v>
      </c>
      <c r="F23" s="1"/>
      <c r="G23" s="314"/>
      <c r="H23" s="314"/>
      <c r="I23" s="314"/>
      <c r="J23" s="314"/>
      <c r="K23" s="314"/>
      <c r="L23" s="314"/>
      <c r="M23" s="314">
        <f t="shared" si="8"/>
        <v>0</v>
      </c>
      <c r="N23" s="314"/>
      <c r="O23" s="314"/>
      <c r="P23" s="314"/>
      <c r="Q23" s="314"/>
      <c r="R23" s="314"/>
      <c r="S23" s="314"/>
      <c r="T23" s="314"/>
      <c r="U23" s="314"/>
      <c r="V23" s="314"/>
      <c r="W23" s="314"/>
      <c r="X23" s="314"/>
      <c r="Y23" s="315">
        <f t="shared" si="10"/>
        <v>0</v>
      </c>
      <c r="Z23" s="314"/>
      <c r="AA23" s="316">
        <f t="shared" si="11"/>
        <v>0</v>
      </c>
      <c r="AB23" s="322"/>
      <c r="AC23" s="322"/>
      <c r="AD23" s="322"/>
      <c r="AE23" s="322"/>
    </row>
    <row r="24" spans="1:32" s="281" customFormat="1" ht="36" customHeight="1" hidden="1">
      <c r="A24" s="140"/>
      <c r="B24" s="107"/>
      <c r="C24" s="107"/>
      <c r="D24" s="107"/>
      <c r="E24" s="1" t="s">
        <v>363</v>
      </c>
      <c r="F24" s="1"/>
      <c r="G24" s="314"/>
      <c r="H24" s="314"/>
      <c r="I24" s="314"/>
      <c r="J24" s="314"/>
      <c r="K24" s="314"/>
      <c r="L24" s="314"/>
      <c r="M24" s="314">
        <f t="shared" si="8"/>
        <v>0</v>
      </c>
      <c r="N24" s="314"/>
      <c r="O24" s="314"/>
      <c r="P24" s="314"/>
      <c r="Q24" s="314"/>
      <c r="R24" s="314"/>
      <c r="S24" s="314"/>
      <c r="T24" s="314"/>
      <c r="U24" s="314"/>
      <c r="V24" s="314"/>
      <c r="W24" s="314"/>
      <c r="X24" s="314"/>
      <c r="Y24" s="315">
        <f t="shared" si="10"/>
        <v>0</v>
      </c>
      <c r="Z24" s="314"/>
      <c r="AA24" s="316">
        <f t="shared" si="11"/>
        <v>0</v>
      </c>
      <c r="AB24" s="322"/>
      <c r="AC24" s="322"/>
      <c r="AD24" s="322"/>
      <c r="AE24" s="322"/>
      <c r="AF24" s="304"/>
    </row>
    <row r="25" spans="1:32" s="281" customFormat="1" ht="63" customHeight="1">
      <c r="A25" s="76" t="s">
        <v>277</v>
      </c>
      <c r="B25" s="101" t="s">
        <v>460</v>
      </c>
      <c r="C25" s="101" t="s">
        <v>266</v>
      </c>
      <c r="D25" s="101" t="s">
        <v>286</v>
      </c>
      <c r="E25" s="102" t="s">
        <v>627</v>
      </c>
      <c r="F25" s="102"/>
      <c r="G25" s="314">
        <f>SUM(E26:E37)</f>
        <v>0</v>
      </c>
      <c r="H25" s="314">
        <f>SUM(G26:G37)</f>
        <v>0</v>
      </c>
      <c r="I25" s="314">
        <f>SUM(H26:H37)</f>
        <v>0</v>
      </c>
      <c r="J25" s="314">
        <f>SUM(I26:I37)</f>
        <v>0</v>
      </c>
      <c r="K25" s="314">
        <f>SUM(J26:J37)</f>
        <v>0</v>
      </c>
      <c r="L25" s="314">
        <f>SUM(K26:K37)</f>
        <v>0</v>
      </c>
      <c r="M25" s="314">
        <f t="shared" si="8"/>
        <v>0</v>
      </c>
      <c r="N25" s="314">
        <f aca="true" t="shared" si="13" ref="N25:T25">SUM(N26:N37)</f>
        <v>1868</v>
      </c>
      <c r="O25" s="314">
        <f t="shared" si="13"/>
        <v>0</v>
      </c>
      <c r="P25" s="314">
        <f t="shared" si="13"/>
        <v>0</v>
      </c>
      <c r="Q25" s="314">
        <f t="shared" si="13"/>
        <v>0</v>
      </c>
      <c r="R25" s="314">
        <f t="shared" si="13"/>
        <v>0</v>
      </c>
      <c r="S25" s="314">
        <f t="shared" si="13"/>
        <v>0</v>
      </c>
      <c r="T25" s="314">
        <f t="shared" si="13"/>
        <v>0</v>
      </c>
      <c r="U25" s="314"/>
      <c r="V25" s="314">
        <f>SUM(V26:V37)</f>
        <v>0</v>
      </c>
      <c r="W25" s="314">
        <f>SUM(W26:W37)</f>
        <v>0</v>
      </c>
      <c r="X25" s="314">
        <f>SUM(X26:X37)</f>
        <v>0</v>
      </c>
      <c r="Y25" s="315">
        <f t="shared" si="10"/>
        <v>1868</v>
      </c>
      <c r="Z25" s="318">
        <f>SUM(Y26:Y37)</f>
        <v>1868</v>
      </c>
      <c r="AA25" s="316">
        <f t="shared" si="11"/>
        <v>1868</v>
      </c>
      <c r="AB25" s="322"/>
      <c r="AC25" s="322"/>
      <c r="AD25" s="322"/>
      <c r="AE25" s="322"/>
      <c r="AF25" s="308"/>
    </row>
    <row r="26" spans="1:31" s="281" customFormat="1" ht="23.25" customHeight="1" hidden="1">
      <c r="A26" s="140"/>
      <c r="B26" s="107"/>
      <c r="C26" s="107"/>
      <c r="D26" s="107"/>
      <c r="E26" s="108" t="s">
        <v>364</v>
      </c>
      <c r="F26" s="108"/>
      <c r="G26" s="314"/>
      <c r="H26" s="314"/>
      <c r="I26" s="314"/>
      <c r="J26" s="314"/>
      <c r="K26" s="314"/>
      <c r="L26" s="314"/>
      <c r="M26" s="314">
        <f t="shared" si="8"/>
        <v>0</v>
      </c>
      <c r="N26" s="314"/>
      <c r="O26" s="314"/>
      <c r="P26" s="314"/>
      <c r="Q26" s="314"/>
      <c r="R26" s="314"/>
      <c r="S26" s="314"/>
      <c r="T26" s="314"/>
      <c r="U26" s="314"/>
      <c r="V26" s="314"/>
      <c r="W26" s="314"/>
      <c r="X26" s="318"/>
      <c r="Y26" s="315">
        <f t="shared" si="10"/>
        <v>0</v>
      </c>
      <c r="Z26" s="315"/>
      <c r="AA26" s="316">
        <f t="shared" si="11"/>
        <v>0</v>
      </c>
      <c r="AB26" s="322"/>
      <c r="AC26" s="322"/>
      <c r="AD26" s="322"/>
      <c r="AE26" s="322"/>
    </row>
    <row r="27" spans="1:31" s="281" customFormat="1" ht="48" customHeight="1">
      <c r="A27" s="140"/>
      <c r="B27" s="107"/>
      <c r="C27" s="107"/>
      <c r="D27" s="107"/>
      <c r="E27" s="108" t="s">
        <v>572</v>
      </c>
      <c r="F27" s="108"/>
      <c r="G27" s="314"/>
      <c r="H27" s="314"/>
      <c r="I27" s="314"/>
      <c r="J27" s="314"/>
      <c r="K27" s="314"/>
      <c r="L27" s="314"/>
      <c r="M27" s="314">
        <f t="shared" si="8"/>
        <v>0</v>
      </c>
      <c r="N27" s="323">
        <v>5968</v>
      </c>
      <c r="O27" s="314"/>
      <c r="P27" s="314"/>
      <c r="Q27" s="314"/>
      <c r="R27" s="314"/>
      <c r="S27" s="314"/>
      <c r="T27" s="314"/>
      <c r="U27" s="314"/>
      <c r="V27" s="314"/>
      <c r="W27" s="314"/>
      <c r="X27" s="318"/>
      <c r="Y27" s="315">
        <f>SUM(N27:X27)</f>
        <v>5968</v>
      </c>
      <c r="Z27" s="315"/>
      <c r="AA27" s="316">
        <f>M27+Y27</f>
        <v>5968</v>
      </c>
      <c r="AB27" s="284"/>
      <c r="AC27" s="115"/>
      <c r="AD27" s="322"/>
      <c r="AE27" s="322"/>
    </row>
    <row r="28" spans="1:31" s="281" customFormat="1" ht="78" customHeight="1" hidden="1">
      <c r="A28" s="140"/>
      <c r="B28" s="107"/>
      <c r="C28" s="107"/>
      <c r="D28" s="107"/>
      <c r="E28" s="108" t="s">
        <v>718</v>
      </c>
      <c r="F28" s="108"/>
      <c r="G28" s="314"/>
      <c r="H28" s="314"/>
      <c r="I28" s="314"/>
      <c r="J28" s="314"/>
      <c r="K28" s="314"/>
      <c r="L28" s="314"/>
      <c r="M28" s="314">
        <f t="shared" si="8"/>
        <v>0</v>
      </c>
      <c r="N28" s="314"/>
      <c r="O28" s="314"/>
      <c r="P28" s="314"/>
      <c r="Q28" s="314"/>
      <c r="R28" s="314"/>
      <c r="S28" s="314"/>
      <c r="T28" s="314"/>
      <c r="U28" s="314"/>
      <c r="V28" s="314"/>
      <c r="W28" s="314"/>
      <c r="X28" s="318"/>
      <c r="Y28" s="315">
        <f>SUM(N28:X28)</f>
        <v>0</v>
      </c>
      <c r="Z28" s="315"/>
      <c r="AA28" s="316">
        <f>M28+Y28</f>
        <v>0</v>
      </c>
      <c r="AB28" s="322"/>
      <c r="AC28" s="322"/>
      <c r="AD28" s="322"/>
      <c r="AE28" s="322"/>
    </row>
    <row r="29" spans="1:31" s="281" customFormat="1" ht="78.75" customHeight="1" hidden="1">
      <c r="A29" s="140"/>
      <c r="B29" s="107"/>
      <c r="C29" s="107"/>
      <c r="D29" s="107"/>
      <c r="E29" s="108" t="s">
        <v>585</v>
      </c>
      <c r="F29" s="108"/>
      <c r="G29" s="314"/>
      <c r="H29" s="314"/>
      <c r="I29" s="314"/>
      <c r="J29" s="314"/>
      <c r="K29" s="314"/>
      <c r="L29" s="314"/>
      <c r="M29" s="314">
        <f t="shared" si="8"/>
        <v>0</v>
      </c>
      <c r="N29" s="314"/>
      <c r="O29" s="314"/>
      <c r="P29" s="314"/>
      <c r="Q29" s="314"/>
      <c r="R29" s="314"/>
      <c r="S29" s="314"/>
      <c r="T29" s="314"/>
      <c r="U29" s="314"/>
      <c r="V29" s="314"/>
      <c r="W29" s="314"/>
      <c r="X29" s="318"/>
      <c r="Y29" s="315">
        <f>SUM(N29:X29)</f>
        <v>0</v>
      </c>
      <c r="Z29" s="315"/>
      <c r="AA29" s="316">
        <f>M29+Y29</f>
        <v>0</v>
      </c>
      <c r="AB29" s="322"/>
      <c r="AC29" s="322"/>
      <c r="AD29" s="322"/>
      <c r="AE29" s="322"/>
    </row>
    <row r="30" spans="1:31" s="281" customFormat="1" ht="78.75" customHeight="1" hidden="1">
      <c r="A30" s="140"/>
      <c r="B30" s="107"/>
      <c r="C30" s="107"/>
      <c r="D30" s="107"/>
      <c r="E30" s="108" t="s">
        <v>749</v>
      </c>
      <c r="F30" s="108"/>
      <c r="G30" s="314"/>
      <c r="H30" s="314"/>
      <c r="I30" s="314"/>
      <c r="J30" s="314"/>
      <c r="K30" s="314"/>
      <c r="L30" s="314"/>
      <c r="M30" s="314">
        <f t="shared" si="8"/>
        <v>0</v>
      </c>
      <c r="N30" s="314"/>
      <c r="O30" s="314"/>
      <c r="P30" s="314"/>
      <c r="Q30" s="314"/>
      <c r="R30" s="314"/>
      <c r="S30" s="314"/>
      <c r="T30" s="314"/>
      <c r="U30" s="314"/>
      <c r="V30" s="314"/>
      <c r="W30" s="314"/>
      <c r="X30" s="318"/>
      <c r="Y30" s="315">
        <f>SUM(N30:X30)</f>
        <v>0</v>
      </c>
      <c r="Z30" s="315"/>
      <c r="AA30" s="316">
        <f>M30+Y30</f>
        <v>0</v>
      </c>
      <c r="AB30" s="322"/>
      <c r="AC30" s="322"/>
      <c r="AD30" s="322"/>
      <c r="AE30" s="322"/>
    </row>
    <row r="31" spans="1:31" s="281" customFormat="1" ht="64.5" customHeight="1" hidden="1">
      <c r="A31" s="140"/>
      <c r="B31" s="107"/>
      <c r="C31" s="107"/>
      <c r="D31" s="107"/>
      <c r="E31" s="108" t="s">
        <v>750</v>
      </c>
      <c r="F31" s="108"/>
      <c r="G31" s="314"/>
      <c r="H31" s="314"/>
      <c r="I31" s="314"/>
      <c r="J31" s="314"/>
      <c r="K31" s="314"/>
      <c r="L31" s="314"/>
      <c r="M31" s="314">
        <f t="shared" si="8"/>
        <v>0</v>
      </c>
      <c r="N31" s="314"/>
      <c r="O31" s="314"/>
      <c r="P31" s="314"/>
      <c r="Q31" s="314"/>
      <c r="R31" s="314"/>
      <c r="S31" s="314"/>
      <c r="T31" s="314"/>
      <c r="U31" s="314"/>
      <c r="V31" s="314"/>
      <c r="W31" s="314"/>
      <c r="X31" s="318"/>
      <c r="Y31" s="315">
        <f t="shared" si="10"/>
        <v>0</v>
      </c>
      <c r="Z31" s="315"/>
      <c r="AA31" s="316">
        <f t="shared" si="11"/>
        <v>0</v>
      </c>
      <c r="AB31" s="115"/>
      <c r="AC31" s="115"/>
      <c r="AD31" s="115"/>
      <c r="AE31" s="115"/>
    </row>
    <row r="32" spans="1:31" s="281" customFormat="1" ht="87" customHeight="1" hidden="1">
      <c r="A32" s="140"/>
      <c r="B32" s="107"/>
      <c r="C32" s="107"/>
      <c r="D32" s="107"/>
      <c r="E32" s="108" t="s">
        <v>751</v>
      </c>
      <c r="F32" s="108"/>
      <c r="G32" s="314"/>
      <c r="H32" s="314"/>
      <c r="I32" s="314"/>
      <c r="J32" s="314"/>
      <c r="K32" s="314"/>
      <c r="L32" s="314"/>
      <c r="M32" s="314">
        <f t="shared" si="8"/>
        <v>0</v>
      </c>
      <c r="N32" s="314"/>
      <c r="O32" s="314"/>
      <c r="P32" s="314"/>
      <c r="Q32" s="314"/>
      <c r="R32" s="314"/>
      <c r="S32" s="314"/>
      <c r="T32" s="314"/>
      <c r="U32" s="314"/>
      <c r="V32" s="314"/>
      <c r="W32" s="314"/>
      <c r="X32" s="318"/>
      <c r="Y32" s="315">
        <f t="shared" si="10"/>
        <v>0</v>
      </c>
      <c r="Z32" s="315"/>
      <c r="AA32" s="316">
        <f t="shared" si="11"/>
        <v>0</v>
      </c>
      <c r="AB32" s="322"/>
      <c r="AC32" s="322"/>
      <c r="AD32" s="322"/>
      <c r="AE32" s="322"/>
    </row>
    <row r="33" spans="1:31" s="281" customFormat="1" ht="112.5" customHeight="1" hidden="1">
      <c r="A33" s="140"/>
      <c r="B33" s="107"/>
      <c r="C33" s="107"/>
      <c r="D33" s="107"/>
      <c r="E33" s="108" t="s">
        <v>752</v>
      </c>
      <c r="F33" s="108"/>
      <c r="G33" s="314"/>
      <c r="H33" s="314"/>
      <c r="I33" s="314"/>
      <c r="J33" s="314"/>
      <c r="K33" s="314"/>
      <c r="L33" s="314"/>
      <c r="M33" s="314"/>
      <c r="N33" s="314"/>
      <c r="O33" s="314"/>
      <c r="P33" s="314"/>
      <c r="Q33" s="314"/>
      <c r="R33" s="314"/>
      <c r="S33" s="314"/>
      <c r="T33" s="314"/>
      <c r="U33" s="314"/>
      <c r="V33" s="314"/>
      <c r="W33" s="314"/>
      <c r="X33" s="318"/>
      <c r="Y33" s="315">
        <f>SUM(N33:X33)</f>
        <v>0</v>
      </c>
      <c r="Z33" s="315"/>
      <c r="AA33" s="316">
        <f>M33+Y33</f>
        <v>0</v>
      </c>
      <c r="AB33" s="322"/>
      <c r="AC33" s="322"/>
      <c r="AD33" s="322"/>
      <c r="AE33" s="322"/>
    </row>
    <row r="34" spans="1:31" s="281" customFormat="1" ht="72" hidden="1">
      <c r="A34" s="140"/>
      <c r="B34" s="107"/>
      <c r="C34" s="107"/>
      <c r="D34" s="107"/>
      <c r="E34" s="108" t="s">
        <v>365</v>
      </c>
      <c r="F34" s="108"/>
      <c r="G34" s="314"/>
      <c r="H34" s="314"/>
      <c r="I34" s="314"/>
      <c r="J34" s="314"/>
      <c r="K34" s="314"/>
      <c r="L34" s="314"/>
      <c r="M34" s="314">
        <f t="shared" si="8"/>
        <v>0</v>
      </c>
      <c r="N34" s="314"/>
      <c r="O34" s="314"/>
      <c r="P34" s="314"/>
      <c r="Q34" s="314"/>
      <c r="R34" s="314"/>
      <c r="S34" s="314"/>
      <c r="T34" s="314"/>
      <c r="U34" s="314"/>
      <c r="V34" s="314"/>
      <c r="W34" s="314"/>
      <c r="X34" s="318"/>
      <c r="Y34" s="315">
        <f t="shared" si="10"/>
        <v>0</v>
      </c>
      <c r="Z34" s="315"/>
      <c r="AA34" s="316">
        <f t="shared" si="11"/>
        <v>0</v>
      </c>
      <c r="AB34" s="322"/>
      <c r="AC34" s="322"/>
      <c r="AD34" s="322"/>
      <c r="AE34" s="322"/>
    </row>
    <row r="35" spans="1:31" s="281" customFormat="1" ht="72" hidden="1">
      <c r="A35" s="140"/>
      <c r="B35" s="107"/>
      <c r="C35" s="107"/>
      <c r="D35" s="107"/>
      <c r="E35" s="108" t="s">
        <v>501</v>
      </c>
      <c r="F35" s="108"/>
      <c r="G35" s="314"/>
      <c r="H35" s="314"/>
      <c r="I35" s="314"/>
      <c r="J35" s="314"/>
      <c r="K35" s="314"/>
      <c r="L35" s="314"/>
      <c r="M35" s="314">
        <f t="shared" si="8"/>
        <v>0</v>
      </c>
      <c r="N35" s="314"/>
      <c r="O35" s="314"/>
      <c r="P35" s="314"/>
      <c r="Q35" s="314"/>
      <c r="R35" s="314"/>
      <c r="S35" s="314"/>
      <c r="T35" s="314"/>
      <c r="U35" s="314"/>
      <c r="V35" s="314"/>
      <c r="W35" s="314"/>
      <c r="X35" s="318"/>
      <c r="Y35" s="315">
        <f t="shared" si="10"/>
        <v>0</v>
      </c>
      <c r="Z35" s="315"/>
      <c r="AA35" s="316">
        <f t="shared" si="11"/>
        <v>0</v>
      </c>
      <c r="AB35" s="322"/>
      <c r="AC35" s="322"/>
      <c r="AD35" s="322"/>
      <c r="AE35" s="322"/>
    </row>
    <row r="36" spans="1:31" s="281" customFormat="1" ht="57" customHeight="1">
      <c r="A36" s="140"/>
      <c r="B36" s="107"/>
      <c r="C36" s="107"/>
      <c r="D36" s="107"/>
      <c r="E36" s="108" t="s">
        <v>700</v>
      </c>
      <c r="F36" s="108"/>
      <c r="G36" s="314"/>
      <c r="H36" s="314"/>
      <c r="I36" s="314"/>
      <c r="J36" s="314"/>
      <c r="K36" s="314"/>
      <c r="L36" s="314"/>
      <c r="M36" s="314">
        <f t="shared" si="8"/>
        <v>0</v>
      </c>
      <c r="N36" s="314">
        <v>-4100</v>
      </c>
      <c r="O36" s="314"/>
      <c r="P36" s="314"/>
      <c r="Q36" s="314"/>
      <c r="R36" s="314"/>
      <c r="S36" s="314"/>
      <c r="T36" s="314"/>
      <c r="U36" s="314"/>
      <c r="V36" s="314"/>
      <c r="W36" s="314"/>
      <c r="X36" s="318"/>
      <c r="Y36" s="315">
        <f>SUM(N36:X36)</f>
        <v>-4100</v>
      </c>
      <c r="Z36" s="315"/>
      <c r="AA36" s="316">
        <f aca="true" t="shared" si="14" ref="AA36:AA58">M36+Y36</f>
        <v>-4100</v>
      </c>
      <c r="AB36" s="115"/>
      <c r="AC36" s="322"/>
      <c r="AD36" s="322"/>
      <c r="AE36" s="322"/>
    </row>
    <row r="37" spans="1:31" s="281" customFormat="1" ht="72" hidden="1">
      <c r="A37" s="140"/>
      <c r="B37" s="107"/>
      <c r="C37" s="107"/>
      <c r="D37" s="107"/>
      <c r="E37" s="108" t="s">
        <v>367</v>
      </c>
      <c r="F37" s="108"/>
      <c r="G37" s="314"/>
      <c r="H37" s="314"/>
      <c r="I37" s="314"/>
      <c r="J37" s="314"/>
      <c r="K37" s="314"/>
      <c r="L37" s="314"/>
      <c r="M37" s="314">
        <f t="shared" si="8"/>
        <v>0</v>
      </c>
      <c r="N37" s="314"/>
      <c r="O37" s="314"/>
      <c r="P37" s="314"/>
      <c r="Q37" s="314"/>
      <c r="R37" s="314"/>
      <c r="S37" s="314"/>
      <c r="T37" s="314"/>
      <c r="U37" s="314"/>
      <c r="V37" s="314"/>
      <c r="W37" s="314"/>
      <c r="X37" s="318"/>
      <c r="Y37" s="315">
        <f aca="true" t="shared" si="15" ref="Y37:Y58">SUM(N37:X37)</f>
        <v>0</v>
      </c>
      <c r="Z37" s="315"/>
      <c r="AA37" s="316">
        <f t="shared" si="14"/>
        <v>0</v>
      </c>
      <c r="AB37" s="322"/>
      <c r="AC37" s="322"/>
      <c r="AD37" s="322"/>
      <c r="AE37" s="322"/>
    </row>
    <row r="38" spans="1:31" s="281" customFormat="1" ht="36">
      <c r="A38" s="140"/>
      <c r="B38" s="76" t="s">
        <v>461</v>
      </c>
      <c r="C38" s="76" t="s">
        <v>262</v>
      </c>
      <c r="D38" s="76" t="s">
        <v>287</v>
      </c>
      <c r="E38" s="102" t="s">
        <v>368</v>
      </c>
      <c r="F38" s="102"/>
      <c r="G38" s="314"/>
      <c r="H38" s="314"/>
      <c r="I38" s="314"/>
      <c r="J38" s="314"/>
      <c r="K38" s="314"/>
      <c r="L38" s="314"/>
      <c r="M38" s="314">
        <f t="shared" si="8"/>
        <v>0</v>
      </c>
      <c r="N38" s="314">
        <f>SUM(N39:N41)</f>
        <v>13000</v>
      </c>
      <c r="O38" s="314">
        <f aca="true" t="shared" si="16" ref="O38:X38">SUM(O40:O41)</f>
        <v>0</v>
      </c>
      <c r="P38" s="314">
        <f t="shared" si="16"/>
        <v>0</v>
      </c>
      <c r="Q38" s="314">
        <f t="shared" si="16"/>
        <v>0</v>
      </c>
      <c r="R38" s="314">
        <f t="shared" si="16"/>
        <v>0</v>
      </c>
      <c r="S38" s="314">
        <f t="shared" si="16"/>
        <v>0</v>
      </c>
      <c r="T38" s="314">
        <f t="shared" si="16"/>
        <v>0</v>
      </c>
      <c r="U38" s="314">
        <f t="shared" si="16"/>
        <v>0</v>
      </c>
      <c r="V38" s="314">
        <f t="shared" si="16"/>
        <v>0</v>
      </c>
      <c r="W38" s="314">
        <f t="shared" si="16"/>
        <v>0</v>
      </c>
      <c r="X38" s="314">
        <f t="shared" si="16"/>
        <v>0</v>
      </c>
      <c r="Y38" s="315">
        <f t="shared" si="15"/>
        <v>13000</v>
      </c>
      <c r="Z38" s="315"/>
      <c r="AA38" s="316">
        <f t="shared" si="14"/>
        <v>13000</v>
      </c>
      <c r="AB38" s="322"/>
      <c r="AC38" s="322"/>
      <c r="AD38" s="322"/>
      <c r="AE38" s="322"/>
    </row>
    <row r="39" spans="1:31" s="281" customFormat="1" ht="43.5" customHeight="1">
      <c r="A39" s="140"/>
      <c r="B39" s="76"/>
      <c r="C39" s="76"/>
      <c r="D39" s="76"/>
      <c r="E39" s="108" t="s">
        <v>550</v>
      </c>
      <c r="F39" s="102"/>
      <c r="G39" s="314"/>
      <c r="H39" s="314"/>
      <c r="I39" s="314"/>
      <c r="J39" s="314"/>
      <c r="K39" s="314"/>
      <c r="L39" s="314"/>
      <c r="M39" s="314"/>
      <c r="N39" s="314">
        <v>13000</v>
      </c>
      <c r="O39" s="314"/>
      <c r="P39" s="314"/>
      <c r="Q39" s="314"/>
      <c r="R39" s="314"/>
      <c r="S39" s="314"/>
      <c r="T39" s="314"/>
      <c r="U39" s="314"/>
      <c r="V39" s="314"/>
      <c r="W39" s="314"/>
      <c r="X39" s="314"/>
      <c r="Y39" s="315">
        <f>SUM(N39:X39)</f>
        <v>13000</v>
      </c>
      <c r="Z39" s="315"/>
      <c r="AA39" s="316">
        <f>M39+Y39</f>
        <v>13000</v>
      </c>
      <c r="AB39" s="115"/>
      <c r="AC39" s="322"/>
      <c r="AD39" s="322"/>
      <c r="AE39" s="322"/>
    </row>
    <row r="40" spans="1:31" s="281" customFormat="1" ht="39" customHeight="1" hidden="1">
      <c r="A40" s="140"/>
      <c r="B40" s="76"/>
      <c r="C40" s="76"/>
      <c r="D40" s="76"/>
      <c r="E40" s="108" t="s">
        <v>577</v>
      </c>
      <c r="F40" s="102"/>
      <c r="G40" s="314"/>
      <c r="H40" s="314"/>
      <c r="I40" s="314"/>
      <c r="J40" s="314"/>
      <c r="K40" s="314"/>
      <c r="L40" s="314"/>
      <c r="M40" s="314">
        <f t="shared" si="8"/>
        <v>0</v>
      </c>
      <c r="N40" s="314"/>
      <c r="O40" s="314"/>
      <c r="P40" s="314"/>
      <c r="Q40" s="314"/>
      <c r="R40" s="314"/>
      <c r="S40" s="314"/>
      <c r="T40" s="314"/>
      <c r="U40" s="314"/>
      <c r="V40" s="314"/>
      <c r="W40" s="314"/>
      <c r="X40" s="318"/>
      <c r="Y40" s="315">
        <f>SUM(N40:X40)</f>
        <v>0</v>
      </c>
      <c r="Z40" s="315"/>
      <c r="AA40" s="316">
        <f>M40+Y40</f>
        <v>0</v>
      </c>
      <c r="AB40" s="322"/>
      <c r="AC40" s="322"/>
      <c r="AD40" s="322"/>
      <c r="AE40" s="322"/>
    </row>
    <row r="41" spans="1:31" s="281" customFormat="1" ht="77.25" customHeight="1" hidden="1">
      <c r="A41" s="140"/>
      <c r="B41" s="76"/>
      <c r="C41" s="76"/>
      <c r="D41" s="76"/>
      <c r="E41" s="108" t="s">
        <v>585</v>
      </c>
      <c r="F41" s="102"/>
      <c r="G41" s="314"/>
      <c r="H41" s="314"/>
      <c r="I41" s="314"/>
      <c r="J41" s="314"/>
      <c r="K41" s="314"/>
      <c r="L41" s="314"/>
      <c r="M41" s="314"/>
      <c r="N41" s="314"/>
      <c r="O41" s="314"/>
      <c r="P41" s="314"/>
      <c r="Q41" s="314"/>
      <c r="R41" s="314"/>
      <c r="S41" s="314"/>
      <c r="T41" s="314"/>
      <c r="U41" s="314"/>
      <c r="V41" s="314"/>
      <c r="W41" s="314"/>
      <c r="X41" s="318"/>
      <c r="Y41" s="315">
        <f>SUM(N41:X41)</f>
        <v>0</v>
      </c>
      <c r="Z41" s="315"/>
      <c r="AA41" s="316">
        <f>M41+Y41</f>
        <v>0</v>
      </c>
      <c r="AB41" s="322"/>
      <c r="AC41" s="322"/>
      <c r="AD41" s="322"/>
      <c r="AE41" s="322"/>
    </row>
    <row r="42" spans="1:31" s="281" customFormat="1" ht="42.75" customHeight="1" hidden="1">
      <c r="A42" s="140"/>
      <c r="B42" s="101" t="s">
        <v>462</v>
      </c>
      <c r="C42" s="101" t="s">
        <v>463</v>
      </c>
      <c r="D42" s="101" t="s">
        <v>288</v>
      </c>
      <c r="E42" s="102" t="s">
        <v>464</v>
      </c>
      <c r="F42" s="102"/>
      <c r="G42" s="314"/>
      <c r="H42" s="314">
        <f aca="true" t="shared" si="17" ref="H42:M42">H44+H43</f>
        <v>0</v>
      </c>
      <c r="I42" s="314">
        <f t="shared" si="17"/>
        <v>0</v>
      </c>
      <c r="J42" s="314">
        <f t="shared" si="17"/>
        <v>0</v>
      </c>
      <c r="K42" s="314">
        <f t="shared" si="17"/>
        <v>0</v>
      </c>
      <c r="L42" s="314">
        <f t="shared" si="17"/>
        <v>0</v>
      </c>
      <c r="M42" s="314">
        <f t="shared" si="17"/>
        <v>0</v>
      </c>
      <c r="N42" s="314">
        <f>N44+N43</f>
        <v>0</v>
      </c>
      <c r="O42" s="314">
        <f aca="true" t="shared" si="18" ref="O42:W42">O44+O43</f>
        <v>0</v>
      </c>
      <c r="P42" s="314">
        <f t="shared" si="18"/>
        <v>0</v>
      </c>
      <c r="Q42" s="314">
        <f t="shared" si="18"/>
        <v>0</v>
      </c>
      <c r="R42" s="314">
        <f t="shared" si="18"/>
        <v>0</v>
      </c>
      <c r="S42" s="314">
        <f t="shared" si="18"/>
        <v>0</v>
      </c>
      <c r="T42" s="314">
        <f t="shared" si="18"/>
        <v>0</v>
      </c>
      <c r="U42" s="314">
        <f t="shared" si="18"/>
        <v>0</v>
      </c>
      <c r="V42" s="314">
        <f t="shared" si="18"/>
        <v>0</v>
      </c>
      <c r="W42" s="314">
        <f t="shared" si="18"/>
        <v>0</v>
      </c>
      <c r="X42" s="318"/>
      <c r="Y42" s="315">
        <f t="shared" si="15"/>
        <v>0</v>
      </c>
      <c r="Z42" s="315"/>
      <c r="AA42" s="316">
        <f t="shared" si="14"/>
        <v>0</v>
      </c>
      <c r="AB42" s="322"/>
      <c r="AC42" s="322"/>
      <c r="AD42" s="322"/>
      <c r="AE42" s="322"/>
    </row>
    <row r="43" spans="1:31" s="281" customFormat="1" ht="22.5" customHeight="1" hidden="1">
      <c r="A43" s="140"/>
      <c r="B43" s="101"/>
      <c r="C43" s="101"/>
      <c r="D43" s="101"/>
      <c r="E43" s="108" t="s">
        <v>362</v>
      </c>
      <c r="F43" s="108"/>
      <c r="G43" s="314"/>
      <c r="H43" s="314"/>
      <c r="I43" s="314"/>
      <c r="J43" s="314"/>
      <c r="K43" s="314"/>
      <c r="L43" s="314"/>
      <c r="M43" s="314"/>
      <c r="N43" s="314"/>
      <c r="O43" s="314"/>
      <c r="P43" s="314"/>
      <c r="Q43" s="314"/>
      <c r="R43" s="314"/>
      <c r="S43" s="314"/>
      <c r="T43" s="314"/>
      <c r="U43" s="314"/>
      <c r="V43" s="314"/>
      <c r="W43" s="314"/>
      <c r="X43" s="318"/>
      <c r="Y43" s="315">
        <f>SUM(N43:X43)</f>
        <v>0</v>
      </c>
      <c r="Z43" s="315"/>
      <c r="AA43" s="316">
        <f>M43+Y43</f>
        <v>0</v>
      </c>
      <c r="AB43" s="322"/>
      <c r="AC43" s="322"/>
      <c r="AD43" s="322"/>
      <c r="AE43" s="322"/>
    </row>
    <row r="44" spans="1:31" s="281" customFormat="1" ht="78" customHeight="1" hidden="1">
      <c r="A44" s="140"/>
      <c r="B44" s="101"/>
      <c r="C44" s="101"/>
      <c r="D44" s="101"/>
      <c r="E44" s="108" t="s">
        <v>501</v>
      </c>
      <c r="F44" s="108"/>
      <c r="G44" s="314"/>
      <c r="H44" s="314"/>
      <c r="I44" s="314"/>
      <c r="J44" s="314"/>
      <c r="K44" s="314"/>
      <c r="L44" s="314"/>
      <c r="M44" s="314"/>
      <c r="N44" s="314"/>
      <c r="O44" s="314"/>
      <c r="P44" s="314"/>
      <c r="Q44" s="314"/>
      <c r="R44" s="314"/>
      <c r="S44" s="314"/>
      <c r="T44" s="314"/>
      <c r="U44" s="314"/>
      <c r="V44" s="314"/>
      <c r="W44" s="314"/>
      <c r="X44" s="318"/>
      <c r="Y44" s="315">
        <f>SUM(N44:X44)</f>
        <v>0</v>
      </c>
      <c r="Z44" s="315"/>
      <c r="AA44" s="316">
        <f>M44+Y44</f>
        <v>0</v>
      </c>
      <c r="AB44" s="322"/>
      <c r="AC44" s="322"/>
      <c r="AD44" s="322"/>
      <c r="AE44" s="322"/>
    </row>
    <row r="45" spans="1:31" s="281" customFormat="1" ht="38.25" customHeight="1" hidden="1">
      <c r="A45" s="140"/>
      <c r="B45" s="101" t="s">
        <v>465</v>
      </c>
      <c r="C45" s="101" t="s">
        <v>466</v>
      </c>
      <c r="D45" s="101" t="s">
        <v>288</v>
      </c>
      <c r="E45" s="102" t="s">
        <v>467</v>
      </c>
      <c r="F45" s="108"/>
      <c r="G45" s="314"/>
      <c r="H45" s="314"/>
      <c r="I45" s="314"/>
      <c r="J45" s="314"/>
      <c r="K45" s="314"/>
      <c r="L45" s="314"/>
      <c r="M45" s="314">
        <f t="shared" si="8"/>
        <v>0</v>
      </c>
      <c r="N45" s="314">
        <f>SUM(N46:N48)</f>
        <v>0</v>
      </c>
      <c r="O45" s="314">
        <f aca="true" t="shared" si="19" ref="O45:X45">SUM(O46:O48)</f>
        <v>0</v>
      </c>
      <c r="P45" s="314">
        <f t="shared" si="19"/>
        <v>0</v>
      </c>
      <c r="Q45" s="314">
        <f t="shared" si="19"/>
        <v>0</v>
      </c>
      <c r="R45" s="314">
        <f t="shared" si="19"/>
        <v>0</v>
      </c>
      <c r="S45" s="314">
        <f t="shared" si="19"/>
        <v>0</v>
      </c>
      <c r="T45" s="314">
        <f t="shared" si="19"/>
        <v>0</v>
      </c>
      <c r="U45" s="314">
        <f t="shared" si="19"/>
        <v>0</v>
      </c>
      <c r="V45" s="314">
        <f t="shared" si="19"/>
        <v>0</v>
      </c>
      <c r="W45" s="314">
        <f t="shared" si="19"/>
        <v>0</v>
      </c>
      <c r="X45" s="318">
        <f t="shared" si="19"/>
        <v>0</v>
      </c>
      <c r="Y45" s="315">
        <f t="shared" si="15"/>
        <v>0</v>
      </c>
      <c r="Z45" s="315"/>
      <c r="AA45" s="316">
        <f t="shared" si="14"/>
        <v>0</v>
      </c>
      <c r="AB45" s="322"/>
      <c r="AC45" s="322"/>
      <c r="AD45" s="322"/>
      <c r="AE45" s="322"/>
    </row>
    <row r="46" spans="1:31" s="281" customFormat="1" ht="33.75" customHeight="1" hidden="1">
      <c r="A46" s="140"/>
      <c r="B46" s="107"/>
      <c r="C46" s="107"/>
      <c r="D46" s="107"/>
      <c r="E46" s="108" t="s">
        <v>468</v>
      </c>
      <c r="F46" s="108"/>
      <c r="G46" s="314"/>
      <c r="H46" s="314"/>
      <c r="I46" s="314"/>
      <c r="J46" s="314"/>
      <c r="K46" s="314"/>
      <c r="L46" s="314"/>
      <c r="M46" s="314">
        <f t="shared" si="8"/>
        <v>0</v>
      </c>
      <c r="N46" s="314"/>
      <c r="O46" s="314"/>
      <c r="P46" s="314"/>
      <c r="Q46" s="314"/>
      <c r="R46" s="314"/>
      <c r="S46" s="314"/>
      <c r="T46" s="314"/>
      <c r="U46" s="314"/>
      <c r="V46" s="314"/>
      <c r="W46" s="314"/>
      <c r="X46" s="318"/>
      <c r="Y46" s="315">
        <f t="shared" si="15"/>
        <v>0</v>
      </c>
      <c r="Z46" s="315"/>
      <c r="AA46" s="316">
        <f t="shared" si="14"/>
        <v>0</v>
      </c>
      <c r="AB46" s="322"/>
      <c r="AC46" s="322"/>
      <c r="AD46" s="322"/>
      <c r="AE46" s="322"/>
    </row>
    <row r="47" spans="1:31" s="281" customFormat="1" ht="39" customHeight="1" hidden="1">
      <c r="A47" s="140"/>
      <c r="B47" s="107"/>
      <c r="C47" s="107"/>
      <c r="D47" s="107"/>
      <c r="E47" s="108" t="s">
        <v>610</v>
      </c>
      <c r="F47" s="108"/>
      <c r="G47" s="314"/>
      <c r="H47" s="314"/>
      <c r="I47" s="314"/>
      <c r="J47" s="314"/>
      <c r="K47" s="314"/>
      <c r="L47" s="314"/>
      <c r="M47" s="314">
        <f t="shared" si="8"/>
        <v>0</v>
      </c>
      <c r="N47" s="314"/>
      <c r="O47" s="314"/>
      <c r="P47" s="314"/>
      <c r="Q47" s="314"/>
      <c r="R47" s="314"/>
      <c r="S47" s="314"/>
      <c r="T47" s="314"/>
      <c r="U47" s="314"/>
      <c r="V47" s="314"/>
      <c r="W47" s="314"/>
      <c r="X47" s="318"/>
      <c r="Y47" s="315">
        <f t="shared" si="15"/>
        <v>0</v>
      </c>
      <c r="Z47" s="315"/>
      <c r="AA47" s="316">
        <f t="shared" si="14"/>
        <v>0</v>
      </c>
      <c r="AB47" s="322"/>
      <c r="AC47" s="322"/>
      <c r="AD47" s="322"/>
      <c r="AE47" s="322"/>
    </row>
    <row r="48" spans="1:31" s="281" customFormat="1" ht="44.25" customHeight="1" hidden="1">
      <c r="A48" s="140"/>
      <c r="B48" s="107"/>
      <c r="C48" s="107"/>
      <c r="D48" s="107"/>
      <c r="E48" s="108" t="s">
        <v>0</v>
      </c>
      <c r="F48" s="108"/>
      <c r="G48" s="314"/>
      <c r="H48" s="314"/>
      <c r="I48" s="314"/>
      <c r="J48" s="314"/>
      <c r="K48" s="314"/>
      <c r="L48" s="314"/>
      <c r="M48" s="314">
        <f t="shared" si="8"/>
        <v>0</v>
      </c>
      <c r="N48" s="314"/>
      <c r="O48" s="314"/>
      <c r="P48" s="314"/>
      <c r="Q48" s="314"/>
      <c r="R48" s="314"/>
      <c r="S48" s="314"/>
      <c r="T48" s="314"/>
      <c r="U48" s="314"/>
      <c r="V48" s="314"/>
      <c r="W48" s="314"/>
      <c r="X48" s="318"/>
      <c r="Y48" s="315">
        <f t="shared" si="15"/>
        <v>0</v>
      </c>
      <c r="Z48" s="315"/>
      <c r="AA48" s="316">
        <f t="shared" si="14"/>
        <v>0</v>
      </c>
      <c r="AB48" s="322"/>
      <c r="AC48" s="322"/>
      <c r="AD48" s="322"/>
      <c r="AE48" s="322"/>
    </row>
    <row r="49" spans="1:31" s="281" customFormat="1" ht="33" customHeight="1" hidden="1">
      <c r="A49" s="140"/>
      <c r="B49" s="107" t="s">
        <v>1</v>
      </c>
      <c r="C49" s="107" t="s">
        <v>2</v>
      </c>
      <c r="D49" s="107" t="s">
        <v>288</v>
      </c>
      <c r="E49" s="108" t="s">
        <v>3</v>
      </c>
      <c r="F49" s="108"/>
      <c r="G49" s="314"/>
      <c r="H49" s="314"/>
      <c r="I49" s="314"/>
      <c r="J49" s="314"/>
      <c r="K49" s="314"/>
      <c r="L49" s="314"/>
      <c r="M49" s="314">
        <f t="shared" si="8"/>
        <v>0</v>
      </c>
      <c r="N49" s="314">
        <f>SUM(N50:N51)</f>
        <v>0</v>
      </c>
      <c r="O49" s="314">
        <f aca="true" t="shared" si="20" ref="O49:X49">SUM(O50:O51)</f>
        <v>0</v>
      </c>
      <c r="P49" s="314">
        <f t="shared" si="20"/>
        <v>0</v>
      </c>
      <c r="Q49" s="314">
        <f t="shared" si="20"/>
        <v>0</v>
      </c>
      <c r="R49" s="314">
        <f t="shared" si="20"/>
        <v>0</v>
      </c>
      <c r="S49" s="314">
        <f t="shared" si="20"/>
        <v>0</v>
      </c>
      <c r="T49" s="314">
        <f t="shared" si="20"/>
        <v>0</v>
      </c>
      <c r="U49" s="314">
        <f t="shared" si="20"/>
        <v>0</v>
      </c>
      <c r="V49" s="314">
        <f t="shared" si="20"/>
        <v>0</v>
      </c>
      <c r="W49" s="314">
        <f t="shared" si="20"/>
        <v>0</v>
      </c>
      <c r="X49" s="318">
        <f t="shared" si="20"/>
        <v>0</v>
      </c>
      <c r="Y49" s="315">
        <f t="shared" si="15"/>
        <v>0</v>
      </c>
      <c r="Z49" s="315"/>
      <c r="AA49" s="316">
        <f t="shared" si="14"/>
        <v>0</v>
      </c>
      <c r="AB49" s="322"/>
      <c r="AC49" s="322"/>
      <c r="AD49" s="322"/>
      <c r="AE49" s="322"/>
    </row>
    <row r="50" spans="1:31" s="281" customFormat="1" ht="39" customHeight="1" hidden="1">
      <c r="A50" s="140"/>
      <c r="B50" s="107"/>
      <c r="C50" s="107"/>
      <c r="D50" s="107"/>
      <c r="E50" s="108" t="s">
        <v>4</v>
      </c>
      <c r="F50" s="108"/>
      <c r="G50" s="314"/>
      <c r="H50" s="314"/>
      <c r="I50" s="314"/>
      <c r="J50" s="314"/>
      <c r="K50" s="314"/>
      <c r="L50" s="314"/>
      <c r="M50" s="314">
        <f t="shared" si="8"/>
        <v>0</v>
      </c>
      <c r="N50" s="314"/>
      <c r="O50" s="314"/>
      <c r="P50" s="314"/>
      <c r="Q50" s="314"/>
      <c r="R50" s="314"/>
      <c r="S50" s="314"/>
      <c r="T50" s="314"/>
      <c r="U50" s="314"/>
      <c r="V50" s="314"/>
      <c r="W50" s="314"/>
      <c r="X50" s="318"/>
      <c r="Y50" s="315">
        <f t="shared" si="15"/>
        <v>0</v>
      </c>
      <c r="Z50" s="315"/>
      <c r="AA50" s="316">
        <f t="shared" si="14"/>
        <v>0</v>
      </c>
      <c r="AB50" s="322"/>
      <c r="AC50" s="322"/>
      <c r="AD50" s="322"/>
      <c r="AE50" s="322"/>
    </row>
    <row r="51" spans="1:31" s="281" customFormat="1" ht="42" customHeight="1" hidden="1">
      <c r="A51" s="140"/>
      <c r="B51" s="140"/>
      <c r="C51" s="140"/>
      <c r="D51" s="140"/>
      <c r="E51" s="108" t="s">
        <v>753</v>
      </c>
      <c r="F51" s="108"/>
      <c r="G51" s="314"/>
      <c r="H51" s="314"/>
      <c r="I51" s="314"/>
      <c r="J51" s="314"/>
      <c r="K51" s="314"/>
      <c r="L51" s="314"/>
      <c r="M51" s="314">
        <f t="shared" si="8"/>
        <v>0</v>
      </c>
      <c r="N51" s="314"/>
      <c r="O51" s="314"/>
      <c r="P51" s="314"/>
      <c r="Q51" s="314"/>
      <c r="R51" s="314"/>
      <c r="S51" s="314"/>
      <c r="T51" s="314"/>
      <c r="U51" s="314"/>
      <c r="V51" s="314"/>
      <c r="W51" s="314"/>
      <c r="X51" s="318"/>
      <c r="Y51" s="315">
        <f t="shared" si="15"/>
        <v>0</v>
      </c>
      <c r="Z51" s="315"/>
      <c r="AA51" s="316">
        <f t="shared" si="14"/>
        <v>0</v>
      </c>
      <c r="AB51" s="322"/>
      <c r="AC51" s="322"/>
      <c r="AD51" s="322"/>
      <c r="AE51" s="322"/>
    </row>
    <row r="52" spans="1:31" s="281" customFormat="1" ht="42" customHeight="1" hidden="1">
      <c r="A52" s="140"/>
      <c r="B52" s="101" t="s">
        <v>546</v>
      </c>
      <c r="C52" s="101" t="s">
        <v>547</v>
      </c>
      <c r="D52" s="101" t="s">
        <v>288</v>
      </c>
      <c r="E52" s="102" t="s">
        <v>548</v>
      </c>
      <c r="F52" s="324"/>
      <c r="G52" s="314"/>
      <c r="H52" s="314"/>
      <c r="I52" s="314"/>
      <c r="J52" s="314"/>
      <c r="K52" s="314"/>
      <c r="L52" s="314"/>
      <c r="M52" s="314">
        <f t="shared" si="8"/>
        <v>0</v>
      </c>
      <c r="N52" s="314">
        <f>SUM(N53:N54)</f>
        <v>0</v>
      </c>
      <c r="O52" s="314">
        <f aca="true" t="shared" si="21" ref="O52:X52">SUM(O53:O54)</f>
        <v>0</v>
      </c>
      <c r="P52" s="314">
        <f t="shared" si="21"/>
        <v>0</v>
      </c>
      <c r="Q52" s="314">
        <f t="shared" si="21"/>
        <v>0</v>
      </c>
      <c r="R52" s="314">
        <f t="shared" si="21"/>
        <v>0</v>
      </c>
      <c r="S52" s="314">
        <f t="shared" si="21"/>
        <v>0</v>
      </c>
      <c r="T52" s="314">
        <f t="shared" si="21"/>
        <v>0</v>
      </c>
      <c r="U52" s="314">
        <f t="shared" si="21"/>
        <v>0</v>
      </c>
      <c r="V52" s="314">
        <f t="shared" si="21"/>
        <v>0</v>
      </c>
      <c r="W52" s="314">
        <f t="shared" si="21"/>
        <v>0</v>
      </c>
      <c r="X52" s="314">
        <f t="shared" si="21"/>
        <v>0</v>
      </c>
      <c r="Y52" s="315">
        <f>SUM(N52:X52)</f>
        <v>0</v>
      </c>
      <c r="Z52" s="315"/>
      <c r="AA52" s="316">
        <f>M52+Y52</f>
        <v>0</v>
      </c>
      <c r="AB52" s="322"/>
      <c r="AC52" s="322"/>
      <c r="AD52" s="322"/>
      <c r="AE52" s="322"/>
    </row>
    <row r="53" spans="1:31" s="281" customFormat="1" ht="54" customHeight="1" hidden="1">
      <c r="A53" s="140"/>
      <c r="B53" s="325"/>
      <c r="C53" s="325"/>
      <c r="D53" s="325"/>
      <c r="E53" s="326" t="s">
        <v>549</v>
      </c>
      <c r="F53" s="326"/>
      <c r="G53" s="314"/>
      <c r="H53" s="314"/>
      <c r="I53" s="314"/>
      <c r="J53" s="314"/>
      <c r="K53" s="314"/>
      <c r="L53" s="314"/>
      <c r="M53" s="314">
        <f t="shared" si="8"/>
        <v>0</v>
      </c>
      <c r="N53" s="314"/>
      <c r="O53" s="314"/>
      <c r="P53" s="314"/>
      <c r="Q53" s="314"/>
      <c r="R53" s="314"/>
      <c r="S53" s="314"/>
      <c r="T53" s="314"/>
      <c r="U53" s="314"/>
      <c r="V53" s="314"/>
      <c r="W53" s="314"/>
      <c r="X53" s="318"/>
      <c r="Y53" s="315">
        <f>SUM(N53:X53)</f>
        <v>0</v>
      </c>
      <c r="Z53" s="315"/>
      <c r="AA53" s="316">
        <f>M53+Y53</f>
        <v>0</v>
      </c>
      <c r="AB53" s="322"/>
      <c r="AC53" s="322"/>
      <c r="AD53" s="322"/>
      <c r="AE53" s="322"/>
    </row>
    <row r="54" spans="1:31" s="281" customFormat="1" ht="42" customHeight="1" hidden="1">
      <c r="A54" s="140"/>
      <c r="B54" s="325"/>
      <c r="C54" s="325"/>
      <c r="D54" s="325"/>
      <c r="E54" s="108" t="s">
        <v>566</v>
      </c>
      <c r="F54" s="326"/>
      <c r="G54" s="314"/>
      <c r="H54" s="314"/>
      <c r="I54" s="314"/>
      <c r="J54" s="314"/>
      <c r="K54" s="314"/>
      <c r="L54" s="314"/>
      <c r="M54" s="314">
        <f t="shared" si="8"/>
        <v>0</v>
      </c>
      <c r="N54" s="314"/>
      <c r="O54" s="314"/>
      <c r="P54" s="314"/>
      <c r="Q54" s="314"/>
      <c r="R54" s="314"/>
      <c r="S54" s="314"/>
      <c r="T54" s="314"/>
      <c r="U54" s="314"/>
      <c r="V54" s="314"/>
      <c r="W54" s="314"/>
      <c r="X54" s="318"/>
      <c r="Y54" s="315">
        <f>SUM(N54:X54)</f>
        <v>0</v>
      </c>
      <c r="Z54" s="315"/>
      <c r="AA54" s="316">
        <f>M54+Y54</f>
        <v>0</v>
      </c>
      <c r="AB54" s="322"/>
      <c r="AC54" s="322"/>
      <c r="AD54" s="322"/>
      <c r="AE54" s="322"/>
    </row>
    <row r="55" spans="1:31" s="281" customFormat="1" ht="63.75" customHeight="1" hidden="1">
      <c r="A55" s="140"/>
      <c r="B55" s="101" t="s">
        <v>620</v>
      </c>
      <c r="C55" s="101" t="s">
        <v>511</v>
      </c>
      <c r="D55" s="101" t="s">
        <v>268</v>
      </c>
      <c r="E55" s="116" t="s">
        <v>512</v>
      </c>
      <c r="F55" s="102">
        <f>F56</f>
        <v>0</v>
      </c>
      <c r="G55" s="102">
        <f aca="true" t="shared" si="22" ref="G55:V55">G56</f>
        <v>0</v>
      </c>
      <c r="H55" s="102">
        <f t="shared" si="22"/>
        <v>0</v>
      </c>
      <c r="I55" s="102">
        <f t="shared" si="22"/>
        <v>0</v>
      </c>
      <c r="J55" s="102">
        <f t="shared" si="22"/>
        <v>0</v>
      </c>
      <c r="K55" s="102">
        <f t="shared" si="22"/>
        <v>0</v>
      </c>
      <c r="L55" s="102">
        <f t="shared" si="22"/>
        <v>0</v>
      </c>
      <c r="M55" s="102">
        <f t="shared" si="22"/>
        <v>0</v>
      </c>
      <c r="N55" s="327">
        <f t="shared" si="22"/>
        <v>0</v>
      </c>
      <c r="O55" s="102">
        <f t="shared" si="22"/>
        <v>0</v>
      </c>
      <c r="P55" s="102">
        <f t="shared" si="22"/>
        <v>0</v>
      </c>
      <c r="Q55" s="102">
        <f t="shared" si="22"/>
        <v>0</v>
      </c>
      <c r="R55" s="102">
        <f t="shared" si="22"/>
        <v>0</v>
      </c>
      <c r="S55" s="102">
        <f t="shared" si="22"/>
        <v>0</v>
      </c>
      <c r="T55" s="102">
        <f t="shared" si="22"/>
        <v>0</v>
      </c>
      <c r="U55" s="102">
        <f t="shared" si="22"/>
        <v>0</v>
      </c>
      <c r="V55" s="102">
        <f t="shared" si="22"/>
        <v>0</v>
      </c>
      <c r="W55" s="314"/>
      <c r="X55" s="318"/>
      <c r="Y55" s="315">
        <f>SUM(N55:X55)</f>
        <v>0</v>
      </c>
      <c r="Z55" s="315"/>
      <c r="AA55" s="316">
        <f>M55+Y55</f>
        <v>0</v>
      </c>
      <c r="AB55" s="322"/>
      <c r="AC55" s="322"/>
      <c r="AD55" s="322"/>
      <c r="AE55" s="322"/>
    </row>
    <row r="56" spans="1:31" s="281" customFormat="1" ht="81" customHeight="1" hidden="1">
      <c r="A56" s="140"/>
      <c r="B56" s="325"/>
      <c r="C56" s="325"/>
      <c r="D56" s="325"/>
      <c r="E56" s="108" t="s">
        <v>744</v>
      </c>
      <c r="F56" s="326"/>
      <c r="G56" s="314"/>
      <c r="H56" s="314"/>
      <c r="I56" s="314"/>
      <c r="J56" s="314"/>
      <c r="K56" s="314"/>
      <c r="L56" s="314"/>
      <c r="M56" s="314"/>
      <c r="N56" s="314"/>
      <c r="O56" s="314"/>
      <c r="P56" s="314"/>
      <c r="Q56" s="314"/>
      <c r="R56" s="314"/>
      <c r="S56" s="314"/>
      <c r="T56" s="314"/>
      <c r="U56" s="314"/>
      <c r="V56" s="314"/>
      <c r="W56" s="314"/>
      <c r="X56" s="318"/>
      <c r="Y56" s="315">
        <f>SUM(N56:X56)</f>
        <v>0</v>
      </c>
      <c r="Z56" s="315"/>
      <c r="AA56" s="316">
        <f>M56+Y56</f>
        <v>0</v>
      </c>
      <c r="AB56" s="322"/>
      <c r="AC56" s="322"/>
      <c r="AD56" s="322"/>
      <c r="AE56" s="322"/>
    </row>
    <row r="57" spans="1:31" s="281" customFormat="1" ht="33.75" customHeight="1" hidden="1">
      <c r="A57" s="140"/>
      <c r="B57" s="76" t="s">
        <v>504</v>
      </c>
      <c r="C57" s="76" t="s">
        <v>109</v>
      </c>
      <c r="D57" s="76"/>
      <c r="E57" s="102" t="s">
        <v>110</v>
      </c>
      <c r="F57" s="102"/>
      <c r="G57" s="314">
        <f aca="true" t="shared" si="23" ref="G57:L57">G58</f>
        <v>0</v>
      </c>
      <c r="H57" s="314">
        <f t="shared" si="23"/>
        <v>0</v>
      </c>
      <c r="I57" s="314">
        <f t="shared" si="23"/>
        <v>0</v>
      </c>
      <c r="J57" s="314">
        <f t="shared" si="23"/>
        <v>0</v>
      </c>
      <c r="K57" s="314">
        <f t="shared" si="23"/>
        <v>0</v>
      </c>
      <c r="L57" s="314">
        <f t="shared" si="23"/>
        <v>0</v>
      </c>
      <c r="M57" s="314">
        <f t="shared" si="8"/>
        <v>0</v>
      </c>
      <c r="N57" s="314">
        <f>N58</f>
        <v>0</v>
      </c>
      <c r="O57" s="314">
        <f aca="true" t="shared" si="24" ref="O57:X57">O58</f>
        <v>0</v>
      </c>
      <c r="P57" s="314">
        <f t="shared" si="24"/>
        <v>0</v>
      </c>
      <c r="Q57" s="314">
        <f t="shared" si="24"/>
        <v>0</v>
      </c>
      <c r="R57" s="314">
        <f t="shared" si="24"/>
        <v>0</v>
      </c>
      <c r="S57" s="314">
        <f t="shared" si="24"/>
        <v>0</v>
      </c>
      <c r="T57" s="314">
        <f t="shared" si="24"/>
        <v>0</v>
      </c>
      <c r="U57" s="314">
        <f t="shared" si="24"/>
        <v>0</v>
      </c>
      <c r="V57" s="314">
        <f t="shared" si="24"/>
        <v>0</v>
      </c>
      <c r="W57" s="314">
        <f t="shared" si="24"/>
        <v>0</v>
      </c>
      <c r="X57" s="314">
        <f t="shared" si="24"/>
        <v>0</v>
      </c>
      <c r="Y57" s="315">
        <f t="shared" si="15"/>
        <v>0</v>
      </c>
      <c r="Z57" s="315"/>
      <c r="AA57" s="316">
        <f t="shared" si="14"/>
        <v>0</v>
      </c>
      <c r="AB57" s="322"/>
      <c r="AC57" s="322"/>
      <c r="AD57" s="322"/>
      <c r="AE57" s="322"/>
    </row>
    <row r="58" spans="1:31" s="281" customFormat="1" ht="165" customHeight="1" hidden="1">
      <c r="A58" s="140"/>
      <c r="B58" s="140" t="s">
        <v>505</v>
      </c>
      <c r="C58" s="140" t="s">
        <v>212</v>
      </c>
      <c r="D58" s="140" t="s">
        <v>268</v>
      </c>
      <c r="E58" s="108" t="s">
        <v>643</v>
      </c>
      <c r="F58" s="108"/>
      <c r="G58" s="314"/>
      <c r="H58" s="314"/>
      <c r="I58" s="314"/>
      <c r="J58" s="314"/>
      <c r="K58" s="314"/>
      <c r="L58" s="314"/>
      <c r="M58" s="314">
        <f t="shared" si="8"/>
        <v>0</v>
      </c>
      <c r="N58" s="314"/>
      <c r="O58" s="314"/>
      <c r="P58" s="314"/>
      <c r="Q58" s="314"/>
      <c r="R58" s="314"/>
      <c r="S58" s="314"/>
      <c r="T58" s="314"/>
      <c r="U58" s="314"/>
      <c r="V58" s="314"/>
      <c r="W58" s="314"/>
      <c r="X58" s="318"/>
      <c r="Y58" s="315">
        <f t="shared" si="15"/>
        <v>0</v>
      </c>
      <c r="Z58" s="315"/>
      <c r="AA58" s="316">
        <f t="shared" si="14"/>
        <v>0</v>
      </c>
      <c r="AB58" s="322"/>
      <c r="AC58" s="322"/>
      <c r="AD58" s="322"/>
      <c r="AE58" s="322"/>
    </row>
    <row r="59" spans="1:31" s="312" customFormat="1" ht="33" customHeight="1">
      <c r="A59" s="136"/>
      <c r="B59" s="77"/>
      <c r="C59" s="77"/>
      <c r="D59" s="77"/>
      <c r="E59" s="166" t="s">
        <v>369</v>
      </c>
      <c r="F59" s="166"/>
      <c r="G59" s="321">
        <f>G19+G21+G25+G57</f>
        <v>0</v>
      </c>
      <c r="H59" s="321">
        <f>H19+H21+H25</f>
        <v>0</v>
      </c>
      <c r="I59" s="321">
        <f>I19+I21+I25</f>
        <v>0</v>
      </c>
      <c r="J59" s="321">
        <f>J19+J21+J25</f>
        <v>0</v>
      </c>
      <c r="K59" s="321">
        <f>K19+K21+K25</f>
        <v>0</v>
      </c>
      <c r="L59" s="321">
        <f>L19+L21+L25</f>
        <v>0</v>
      </c>
      <c r="M59" s="321">
        <f t="shared" si="8"/>
        <v>0</v>
      </c>
      <c r="N59" s="321">
        <f>N19+N21+N25+N42+N45+N38+N52+N55+N57</f>
        <v>14868</v>
      </c>
      <c r="O59" s="321">
        <f aca="true" t="shared" si="25" ref="O59:V59">O19+O21+O25+O42+O45+O38+O52+O55+O57</f>
        <v>0</v>
      </c>
      <c r="P59" s="321">
        <f t="shared" si="25"/>
        <v>0</v>
      </c>
      <c r="Q59" s="321">
        <f t="shared" si="25"/>
        <v>0</v>
      </c>
      <c r="R59" s="321">
        <f t="shared" si="25"/>
        <v>0</v>
      </c>
      <c r="S59" s="321">
        <f t="shared" si="25"/>
        <v>0</v>
      </c>
      <c r="T59" s="321">
        <f t="shared" si="25"/>
        <v>0</v>
      </c>
      <c r="U59" s="321">
        <f t="shared" si="25"/>
        <v>0</v>
      </c>
      <c r="V59" s="321">
        <f t="shared" si="25"/>
        <v>0</v>
      </c>
      <c r="W59" s="321">
        <f>W19+W21+W25+W42+W45+W38+W52+W55</f>
        <v>0</v>
      </c>
      <c r="X59" s="321">
        <f>X19+X21+X25+X42+X45+X38+X52+X55</f>
        <v>0</v>
      </c>
      <c r="Y59" s="328">
        <f>SUM(N59:X59)</f>
        <v>14868</v>
      </c>
      <c r="Z59" s="329">
        <f>Z19+Z21+Z25</f>
        <v>1868</v>
      </c>
      <c r="AA59" s="328">
        <f>AA19+AA21+AA25+AA42+AA45+AA38+AA52+AA55+AA57</f>
        <v>14868</v>
      </c>
      <c r="AB59" s="322"/>
      <c r="AC59" s="322"/>
      <c r="AD59" s="322"/>
      <c r="AE59" s="322"/>
    </row>
    <row r="60" spans="1:31" s="281" customFormat="1" ht="45.75" customHeight="1">
      <c r="A60" s="136"/>
      <c r="B60" s="77" t="s">
        <v>6</v>
      </c>
      <c r="C60" s="77"/>
      <c r="D60" s="77"/>
      <c r="E60" s="78" t="s">
        <v>553</v>
      </c>
      <c r="F60" s="78"/>
      <c r="G60" s="330"/>
      <c r="H60" s="314"/>
      <c r="I60" s="314"/>
      <c r="J60" s="314"/>
      <c r="K60" s="314"/>
      <c r="L60" s="314"/>
      <c r="M60" s="314"/>
      <c r="N60" s="314"/>
      <c r="O60" s="314"/>
      <c r="P60" s="314"/>
      <c r="Q60" s="314"/>
      <c r="R60" s="314"/>
      <c r="S60" s="314"/>
      <c r="T60" s="314"/>
      <c r="U60" s="314"/>
      <c r="V60" s="314"/>
      <c r="W60" s="314"/>
      <c r="X60" s="318"/>
      <c r="Y60" s="315"/>
      <c r="Z60" s="315"/>
      <c r="AA60" s="316"/>
      <c r="AB60" s="284"/>
      <c r="AC60" s="284"/>
      <c r="AD60" s="284"/>
      <c r="AE60" s="284"/>
    </row>
    <row r="61" spans="1:31" s="281" customFormat="1" ht="47.25" customHeight="1">
      <c r="A61" s="76"/>
      <c r="B61" s="93" t="s">
        <v>7</v>
      </c>
      <c r="C61" s="77"/>
      <c r="D61" s="77"/>
      <c r="E61" s="78" t="s">
        <v>555</v>
      </c>
      <c r="F61" s="78"/>
      <c r="G61" s="330"/>
      <c r="H61" s="314"/>
      <c r="I61" s="314"/>
      <c r="J61" s="314"/>
      <c r="K61" s="314"/>
      <c r="L61" s="314"/>
      <c r="M61" s="314"/>
      <c r="N61" s="314"/>
      <c r="O61" s="314"/>
      <c r="P61" s="314"/>
      <c r="Q61" s="314"/>
      <c r="R61" s="314"/>
      <c r="S61" s="314"/>
      <c r="T61" s="314"/>
      <c r="U61" s="314"/>
      <c r="V61" s="308"/>
      <c r="W61" s="308"/>
      <c r="X61" s="331"/>
      <c r="Y61" s="332"/>
      <c r="Z61" s="332"/>
      <c r="AA61" s="333"/>
      <c r="AB61" s="284"/>
      <c r="AC61" s="284"/>
      <c r="AD61" s="284"/>
      <c r="AE61" s="284"/>
    </row>
    <row r="62" spans="1:31" s="281" customFormat="1" ht="60" customHeight="1" hidden="1">
      <c r="A62" s="76" t="s">
        <v>260</v>
      </c>
      <c r="B62" s="101" t="s">
        <v>8</v>
      </c>
      <c r="C62" s="101" t="s">
        <v>317</v>
      </c>
      <c r="D62" s="101" t="s">
        <v>261</v>
      </c>
      <c r="E62" s="116" t="s">
        <v>70</v>
      </c>
      <c r="F62" s="116"/>
      <c r="G62" s="314"/>
      <c r="H62" s="314"/>
      <c r="I62" s="314"/>
      <c r="J62" s="314"/>
      <c r="K62" s="314"/>
      <c r="L62" s="314"/>
      <c r="M62" s="314">
        <f aca="true" t="shared" si="26" ref="M62:M71">SUM(G62:L62)</f>
        <v>0</v>
      </c>
      <c r="N62" s="314">
        <f>N64+N63</f>
        <v>0</v>
      </c>
      <c r="O62" s="314">
        <f aca="true" t="shared" si="27" ref="O62:W62">O64+O63</f>
        <v>0</v>
      </c>
      <c r="P62" s="314">
        <f t="shared" si="27"/>
        <v>0</v>
      </c>
      <c r="Q62" s="314">
        <f t="shared" si="27"/>
        <v>0</v>
      </c>
      <c r="R62" s="314">
        <f t="shared" si="27"/>
        <v>0</v>
      </c>
      <c r="S62" s="314">
        <f t="shared" si="27"/>
        <v>0</v>
      </c>
      <c r="T62" s="314">
        <f t="shared" si="27"/>
        <v>0</v>
      </c>
      <c r="U62" s="314">
        <f t="shared" si="27"/>
        <v>0</v>
      </c>
      <c r="V62" s="308">
        <f t="shared" si="27"/>
        <v>0</v>
      </c>
      <c r="W62" s="308">
        <f t="shared" si="27"/>
        <v>0</v>
      </c>
      <c r="X62" s="331">
        <f>X64</f>
        <v>0</v>
      </c>
      <c r="Y62" s="332">
        <f>SUM(N62:X62)</f>
        <v>0</v>
      </c>
      <c r="Z62" s="332"/>
      <c r="AA62" s="333">
        <f>M62+Y62</f>
        <v>0</v>
      </c>
      <c r="AB62" s="284"/>
      <c r="AC62" s="284"/>
      <c r="AD62" s="284"/>
      <c r="AE62" s="284"/>
    </row>
    <row r="63" spans="1:31" s="281" customFormat="1" ht="39" customHeight="1" hidden="1">
      <c r="A63" s="76"/>
      <c r="B63" s="101"/>
      <c r="C63" s="101"/>
      <c r="D63" s="101"/>
      <c r="E63" s="1" t="s">
        <v>229</v>
      </c>
      <c r="F63" s="116"/>
      <c r="G63" s="314"/>
      <c r="H63" s="314"/>
      <c r="I63" s="314"/>
      <c r="J63" s="314"/>
      <c r="K63" s="314"/>
      <c r="L63" s="314"/>
      <c r="M63" s="314">
        <f t="shared" si="26"/>
        <v>0</v>
      </c>
      <c r="N63" s="314"/>
      <c r="O63" s="314"/>
      <c r="P63" s="314"/>
      <c r="Q63" s="314"/>
      <c r="R63" s="314"/>
      <c r="S63" s="314"/>
      <c r="T63" s="314"/>
      <c r="U63" s="314"/>
      <c r="V63" s="308"/>
      <c r="W63" s="308"/>
      <c r="X63" s="331"/>
      <c r="Y63" s="332">
        <f aca="true" t="shared" si="28" ref="Y63:Y71">SUM(N63:X63)</f>
        <v>0</v>
      </c>
      <c r="Z63" s="332"/>
      <c r="AA63" s="333">
        <f aca="true" t="shared" si="29" ref="AA63:AA71">M63+Y63</f>
        <v>0</v>
      </c>
      <c r="AB63" s="284"/>
      <c r="AC63" s="284"/>
      <c r="AD63" s="284"/>
      <c r="AE63" s="284"/>
    </row>
    <row r="64" spans="1:31" s="281" customFormat="1" ht="43.5" customHeight="1" hidden="1">
      <c r="A64" s="76"/>
      <c r="B64" s="101"/>
      <c r="C64" s="101"/>
      <c r="D64" s="101"/>
      <c r="E64" s="116" t="s">
        <v>441</v>
      </c>
      <c r="F64" s="116"/>
      <c r="G64" s="314"/>
      <c r="H64" s="314"/>
      <c r="I64" s="314"/>
      <c r="J64" s="314"/>
      <c r="K64" s="314"/>
      <c r="L64" s="314"/>
      <c r="M64" s="314">
        <f t="shared" si="26"/>
        <v>0</v>
      </c>
      <c r="N64" s="314"/>
      <c r="O64" s="314"/>
      <c r="P64" s="314"/>
      <c r="Q64" s="314"/>
      <c r="R64" s="314"/>
      <c r="S64" s="314"/>
      <c r="T64" s="314"/>
      <c r="U64" s="314"/>
      <c r="V64" s="308"/>
      <c r="W64" s="308"/>
      <c r="X64" s="331"/>
      <c r="Y64" s="332">
        <f t="shared" si="28"/>
        <v>0</v>
      </c>
      <c r="Z64" s="332"/>
      <c r="AA64" s="333">
        <f t="shared" si="29"/>
        <v>0</v>
      </c>
      <c r="AB64" s="284"/>
      <c r="AC64" s="284"/>
      <c r="AD64" s="284"/>
      <c r="AE64" s="284"/>
    </row>
    <row r="65" spans="1:31" s="281" customFormat="1" ht="48" customHeight="1">
      <c r="A65" s="76"/>
      <c r="B65" s="101" t="s">
        <v>9</v>
      </c>
      <c r="C65" s="76" t="s">
        <v>425</v>
      </c>
      <c r="D65" s="76" t="s">
        <v>426</v>
      </c>
      <c r="E65" s="178" t="s">
        <v>573</v>
      </c>
      <c r="F65" s="178"/>
      <c r="G65" s="314"/>
      <c r="H65" s="314"/>
      <c r="I65" s="314">
        <f>SUM(I66:I71)</f>
        <v>0</v>
      </c>
      <c r="J65" s="314"/>
      <c r="K65" s="314"/>
      <c r="L65" s="314"/>
      <c r="M65" s="314">
        <f t="shared" si="26"/>
        <v>0</v>
      </c>
      <c r="N65" s="314">
        <f aca="true" t="shared" si="30" ref="N65:T65">SUM(N66:N71)</f>
        <v>0</v>
      </c>
      <c r="O65" s="314">
        <f t="shared" si="30"/>
        <v>0</v>
      </c>
      <c r="P65" s="314">
        <f t="shared" si="30"/>
        <v>0</v>
      </c>
      <c r="Q65" s="314">
        <f t="shared" si="30"/>
        <v>0</v>
      </c>
      <c r="R65" s="314">
        <f t="shared" si="30"/>
        <v>0</v>
      </c>
      <c r="S65" s="314">
        <f t="shared" si="30"/>
        <v>0</v>
      </c>
      <c r="T65" s="314">
        <f t="shared" si="30"/>
        <v>0</v>
      </c>
      <c r="U65" s="314"/>
      <c r="V65" s="308">
        <f>SUM(V66:V71)</f>
        <v>-114745.4</v>
      </c>
      <c r="W65" s="308">
        <f>SUM(W66:W71)</f>
        <v>0</v>
      </c>
      <c r="X65" s="331"/>
      <c r="Y65" s="332">
        <f t="shared" si="28"/>
        <v>-114745.4</v>
      </c>
      <c r="Z65" s="332"/>
      <c r="AA65" s="333">
        <f t="shared" si="29"/>
        <v>-114745.4</v>
      </c>
      <c r="AB65" s="284"/>
      <c r="AC65" s="284"/>
      <c r="AD65" s="284"/>
      <c r="AE65" s="284"/>
    </row>
    <row r="66" spans="1:31" s="281" customFormat="1" ht="24.75" customHeight="1" hidden="1">
      <c r="A66" s="76"/>
      <c r="B66" s="101"/>
      <c r="C66" s="76"/>
      <c r="D66" s="76"/>
      <c r="E66" s="186" t="s">
        <v>381</v>
      </c>
      <c r="F66" s="334"/>
      <c r="G66" s="314"/>
      <c r="H66" s="314"/>
      <c r="I66" s="314"/>
      <c r="J66" s="314"/>
      <c r="K66" s="314"/>
      <c r="L66" s="314"/>
      <c r="M66" s="314">
        <f t="shared" si="26"/>
        <v>0</v>
      </c>
      <c r="N66" s="314"/>
      <c r="O66" s="314"/>
      <c r="P66" s="314"/>
      <c r="Q66" s="314"/>
      <c r="R66" s="314"/>
      <c r="S66" s="314"/>
      <c r="T66" s="314"/>
      <c r="U66" s="314"/>
      <c r="V66" s="308"/>
      <c r="W66" s="308"/>
      <c r="X66" s="331"/>
      <c r="Y66" s="332">
        <f t="shared" si="28"/>
        <v>0</v>
      </c>
      <c r="Z66" s="332"/>
      <c r="AA66" s="333">
        <f t="shared" si="29"/>
        <v>0</v>
      </c>
      <c r="AB66" s="284"/>
      <c r="AC66" s="284"/>
      <c r="AD66" s="284"/>
      <c r="AE66" s="284"/>
    </row>
    <row r="67" spans="1:32" s="281" customFormat="1" ht="114.75" customHeight="1" hidden="1">
      <c r="A67" s="76"/>
      <c r="B67" s="101"/>
      <c r="C67" s="76"/>
      <c r="D67" s="76"/>
      <c r="E67" s="181" t="s">
        <v>625</v>
      </c>
      <c r="F67" s="334"/>
      <c r="G67" s="314"/>
      <c r="H67" s="314"/>
      <c r="I67" s="314"/>
      <c r="J67" s="314"/>
      <c r="K67" s="314"/>
      <c r="L67" s="314"/>
      <c r="M67" s="314">
        <f t="shared" si="26"/>
        <v>0</v>
      </c>
      <c r="N67" s="314"/>
      <c r="O67" s="314"/>
      <c r="P67" s="314"/>
      <c r="Q67" s="314"/>
      <c r="R67" s="314"/>
      <c r="S67" s="314"/>
      <c r="T67" s="314"/>
      <c r="U67" s="314"/>
      <c r="V67" s="308"/>
      <c r="W67" s="308"/>
      <c r="X67" s="331"/>
      <c r="Y67" s="332">
        <f t="shared" si="28"/>
        <v>0</v>
      </c>
      <c r="Z67" s="332"/>
      <c r="AA67" s="333">
        <f t="shared" si="29"/>
        <v>0</v>
      </c>
      <c r="AB67" s="284"/>
      <c r="AC67" s="284"/>
      <c r="AD67" s="284"/>
      <c r="AE67" s="284"/>
      <c r="AF67" s="304"/>
    </row>
    <row r="68" spans="1:32" s="281" customFormat="1" ht="81.75" customHeight="1">
      <c r="A68" s="76"/>
      <c r="B68" s="101"/>
      <c r="C68" s="76"/>
      <c r="D68" s="76"/>
      <c r="E68" s="181" t="s">
        <v>698</v>
      </c>
      <c r="F68" s="334"/>
      <c r="G68" s="314"/>
      <c r="H68" s="314"/>
      <c r="I68" s="314"/>
      <c r="J68" s="314"/>
      <c r="K68" s="314"/>
      <c r="L68" s="314"/>
      <c r="M68" s="314"/>
      <c r="N68" s="314"/>
      <c r="O68" s="314"/>
      <c r="P68" s="314"/>
      <c r="Q68" s="314"/>
      <c r="R68" s="314"/>
      <c r="S68" s="314"/>
      <c r="T68" s="314"/>
      <c r="U68" s="314"/>
      <c r="V68" s="308">
        <f>-90000-3000+172850</f>
        <v>79850</v>
      </c>
      <c r="W68" s="308"/>
      <c r="X68" s="331"/>
      <c r="Y68" s="332">
        <f>SUM(N68:X68)</f>
        <v>79850</v>
      </c>
      <c r="Z68" s="332"/>
      <c r="AA68" s="333">
        <f>M68+Y68</f>
        <v>79850</v>
      </c>
      <c r="AB68" s="284"/>
      <c r="AC68" s="284"/>
      <c r="AD68" s="284"/>
      <c r="AE68" s="284"/>
      <c r="AF68" s="304"/>
    </row>
    <row r="69" spans="1:32" s="281" customFormat="1" ht="69" customHeight="1">
      <c r="A69" s="76"/>
      <c r="B69" s="101"/>
      <c r="C69" s="76"/>
      <c r="D69" s="76"/>
      <c r="E69" s="181" t="s">
        <v>754</v>
      </c>
      <c r="F69" s="334"/>
      <c r="G69" s="314"/>
      <c r="H69" s="314"/>
      <c r="I69" s="314"/>
      <c r="J69" s="314"/>
      <c r="K69" s="314"/>
      <c r="L69" s="314"/>
      <c r="M69" s="314"/>
      <c r="N69" s="314"/>
      <c r="O69" s="314"/>
      <c r="P69" s="314"/>
      <c r="Q69" s="314"/>
      <c r="R69" s="314"/>
      <c r="S69" s="314"/>
      <c r="T69" s="314"/>
      <c r="U69" s="314"/>
      <c r="V69" s="308">
        <v>-194595.4</v>
      </c>
      <c r="W69" s="308"/>
      <c r="X69" s="331"/>
      <c r="Y69" s="332">
        <f>SUM(N69:X69)</f>
        <v>-194595.4</v>
      </c>
      <c r="Z69" s="332"/>
      <c r="AA69" s="333">
        <f>M69+Y69</f>
        <v>-194595.4</v>
      </c>
      <c r="AB69" s="284"/>
      <c r="AC69" s="284"/>
      <c r="AD69" s="284"/>
      <c r="AE69" s="284"/>
      <c r="AF69" s="304"/>
    </row>
    <row r="70" spans="1:32" s="281" customFormat="1" ht="44.25" customHeight="1" hidden="1">
      <c r="A70" s="76"/>
      <c r="B70" s="101"/>
      <c r="C70" s="76"/>
      <c r="D70" s="76"/>
      <c r="E70" s="181" t="s">
        <v>209</v>
      </c>
      <c r="F70" s="334"/>
      <c r="G70" s="314"/>
      <c r="H70" s="314"/>
      <c r="I70" s="314"/>
      <c r="J70" s="314"/>
      <c r="K70" s="314"/>
      <c r="L70" s="314"/>
      <c r="M70" s="314"/>
      <c r="N70" s="314"/>
      <c r="O70" s="314"/>
      <c r="P70" s="314"/>
      <c r="Q70" s="314"/>
      <c r="R70" s="314"/>
      <c r="S70" s="314"/>
      <c r="T70" s="314"/>
      <c r="U70" s="314"/>
      <c r="V70" s="308"/>
      <c r="W70" s="308"/>
      <c r="X70" s="331"/>
      <c r="Y70" s="332">
        <f>SUM(N70:X70)</f>
        <v>0</v>
      </c>
      <c r="Z70" s="332"/>
      <c r="AA70" s="333">
        <f>M70+Y70</f>
        <v>0</v>
      </c>
      <c r="AB70" s="284"/>
      <c r="AC70" s="284"/>
      <c r="AD70" s="284"/>
      <c r="AE70" s="284"/>
      <c r="AF70" s="304"/>
    </row>
    <row r="71" spans="1:32" s="281" customFormat="1" ht="78" customHeight="1" hidden="1">
      <c r="A71" s="76"/>
      <c r="B71" s="101"/>
      <c r="C71" s="101"/>
      <c r="D71" s="101"/>
      <c r="E71" s="116" t="s">
        <v>431</v>
      </c>
      <c r="F71" s="116"/>
      <c r="G71" s="314"/>
      <c r="H71" s="314"/>
      <c r="I71" s="314"/>
      <c r="J71" s="314"/>
      <c r="K71" s="314"/>
      <c r="L71" s="314"/>
      <c r="M71" s="314">
        <f t="shared" si="26"/>
        <v>0</v>
      </c>
      <c r="N71" s="314"/>
      <c r="O71" s="314"/>
      <c r="P71" s="314"/>
      <c r="Q71" s="314"/>
      <c r="R71" s="314"/>
      <c r="S71" s="314"/>
      <c r="T71" s="314"/>
      <c r="U71" s="314"/>
      <c r="V71" s="314"/>
      <c r="W71" s="314"/>
      <c r="X71" s="318"/>
      <c r="Y71" s="315">
        <f t="shared" si="28"/>
        <v>0</v>
      </c>
      <c r="Z71" s="315"/>
      <c r="AA71" s="316">
        <f t="shared" si="29"/>
        <v>0</v>
      </c>
      <c r="AB71" s="284"/>
      <c r="AC71" s="284"/>
      <c r="AD71" s="284"/>
      <c r="AE71" s="284"/>
      <c r="AF71" s="304"/>
    </row>
    <row r="72" spans="1:32" s="281" customFormat="1" ht="48" customHeight="1">
      <c r="A72" s="76"/>
      <c r="B72" s="76" t="s">
        <v>11</v>
      </c>
      <c r="C72" s="76" t="s">
        <v>12</v>
      </c>
      <c r="D72" s="76"/>
      <c r="E72" s="186" t="s">
        <v>13</v>
      </c>
      <c r="F72" s="186"/>
      <c r="G72" s="314"/>
      <c r="H72" s="314"/>
      <c r="I72" s="314"/>
      <c r="J72" s="314"/>
      <c r="K72" s="314"/>
      <c r="L72" s="314"/>
      <c r="M72" s="314"/>
      <c r="N72" s="314">
        <f>N73</f>
        <v>0</v>
      </c>
      <c r="O72" s="314">
        <f aca="true" t="shared" si="31" ref="O72:V72">O73</f>
        <v>0</v>
      </c>
      <c r="P72" s="314">
        <f t="shared" si="31"/>
        <v>0</v>
      </c>
      <c r="Q72" s="314">
        <f t="shared" si="31"/>
        <v>0</v>
      </c>
      <c r="R72" s="314">
        <f t="shared" si="31"/>
        <v>0</v>
      </c>
      <c r="S72" s="314">
        <f t="shared" si="31"/>
        <v>0</v>
      </c>
      <c r="T72" s="314">
        <f t="shared" si="31"/>
        <v>0</v>
      </c>
      <c r="U72" s="314">
        <f t="shared" si="31"/>
        <v>0</v>
      </c>
      <c r="V72" s="314">
        <f t="shared" si="31"/>
        <v>43000</v>
      </c>
      <c r="W72" s="314">
        <f>W73</f>
        <v>0</v>
      </c>
      <c r="X72" s="318">
        <f>X73</f>
        <v>0</v>
      </c>
      <c r="Y72" s="315">
        <f aca="true" t="shared" si="32" ref="Y72:Y88">SUM(N72:X72)</f>
        <v>43000</v>
      </c>
      <c r="Z72" s="315"/>
      <c r="AA72" s="316">
        <f aca="true" t="shared" si="33" ref="AA72:AA96">M72+Y72</f>
        <v>43000</v>
      </c>
      <c r="AB72" s="284"/>
      <c r="AC72" s="284"/>
      <c r="AD72" s="284"/>
      <c r="AE72" s="284"/>
      <c r="AF72" s="304"/>
    </row>
    <row r="73" spans="1:32" s="281" customFormat="1" ht="72.75" customHeight="1">
      <c r="A73" s="76"/>
      <c r="B73" s="76" t="s">
        <v>14</v>
      </c>
      <c r="C73" s="76" t="s">
        <v>15</v>
      </c>
      <c r="D73" s="76" t="s">
        <v>16</v>
      </c>
      <c r="E73" s="181" t="s">
        <v>17</v>
      </c>
      <c r="F73" s="181"/>
      <c r="G73" s="314"/>
      <c r="H73" s="314"/>
      <c r="I73" s="314"/>
      <c r="J73" s="314"/>
      <c r="K73" s="314"/>
      <c r="L73" s="314"/>
      <c r="M73" s="314"/>
      <c r="N73" s="314">
        <f>SUM(N74:N75)</f>
        <v>0</v>
      </c>
      <c r="O73" s="314">
        <f>SUM(O74:O75)</f>
        <v>0</v>
      </c>
      <c r="P73" s="314">
        <f>SUM(P74:P75)</f>
        <v>0</v>
      </c>
      <c r="Q73" s="314">
        <f aca="true" t="shared" si="34" ref="Q73:V73">SUM(Q74:Q75)</f>
        <v>0</v>
      </c>
      <c r="R73" s="314">
        <f t="shared" si="34"/>
        <v>0</v>
      </c>
      <c r="S73" s="314">
        <f t="shared" si="34"/>
        <v>0</v>
      </c>
      <c r="T73" s="314">
        <f t="shared" si="34"/>
        <v>0</v>
      </c>
      <c r="U73" s="314">
        <f t="shared" si="34"/>
        <v>0</v>
      </c>
      <c r="V73" s="314">
        <f t="shared" si="34"/>
        <v>43000</v>
      </c>
      <c r="W73" s="314">
        <f>W75</f>
        <v>0</v>
      </c>
      <c r="X73" s="318">
        <f>X75</f>
        <v>0</v>
      </c>
      <c r="Y73" s="315">
        <f t="shared" si="32"/>
        <v>43000</v>
      </c>
      <c r="Z73" s="315"/>
      <c r="AA73" s="316">
        <f t="shared" si="33"/>
        <v>43000</v>
      </c>
      <c r="AB73" s="284"/>
      <c r="AC73" s="284"/>
      <c r="AD73" s="284"/>
      <c r="AE73" s="284"/>
      <c r="AF73" s="304"/>
    </row>
    <row r="74" spans="1:32" s="281" customFormat="1" ht="47.25" customHeight="1" hidden="1">
      <c r="A74" s="76"/>
      <c r="B74" s="76"/>
      <c r="C74" s="76"/>
      <c r="D74" s="76"/>
      <c r="E74" s="181" t="s">
        <v>652</v>
      </c>
      <c r="F74" s="181"/>
      <c r="G74" s="314"/>
      <c r="H74" s="314"/>
      <c r="I74" s="314"/>
      <c r="J74" s="314"/>
      <c r="K74" s="314"/>
      <c r="L74" s="314"/>
      <c r="M74" s="314"/>
      <c r="N74" s="314"/>
      <c r="O74" s="314"/>
      <c r="P74" s="314"/>
      <c r="Q74" s="314"/>
      <c r="R74" s="314"/>
      <c r="S74" s="314"/>
      <c r="T74" s="314"/>
      <c r="U74" s="314"/>
      <c r="V74" s="314"/>
      <c r="W74" s="314"/>
      <c r="X74" s="318"/>
      <c r="Y74" s="315">
        <f>SUM(N74:X74)</f>
        <v>0</v>
      </c>
      <c r="Z74" s="315"/>
      <c r="AA74" s="316">
        <f>M74+Y74</f>
        <v>0</v>
      </c>
      <c r="AB74" s="284"/>
      <c r="AC74" s="284"/>
      <c r="AD74" s="284"/>
      <c r="AE74" s="284"/>
      <c r="AF74" s="304"/>
    </row>
    <row r="75" spans="1:32" s="281" customFormat="1" ht="144" customHeight="1">
      <c r="A75" s="76"/>
      <c r="B75" s="76"/>
      <c r="C75" s="76"/>
      <c r="D75" s="76"/>
      <c r="E75" s="181" t="s">
        <v>646</v>
      </c>
      <c r="F75" s="181"/>
      <c r="G75" s="314"/>
      <c r="H75" s="314"/>
      <c r="I75" s="314"/>
      <c r="J75" s="314"/>
      <c r="K75" s="314"/>
      <c r="L75" s="314"/>
      <c r="M75" s="314"/>
      <c r="N75" s="314"/>
      <c r="O75" s="314"/>
      <c r="P75" s="314"/>
      <c r="Q75" s="314"/>
      <c r="R75" s="314"/>
      <c r="S75" s="314"/>
      <c r="T75" s="314"/>
      <c r="U75" s="314"/>
      <c r="V75" s="314">
        <v>43000</v>
      </c>
      <c r="W75" s="314"/>
      <c r="X75" s="318"/>
      <c r="Y75" s="315">
        <f t="shared" si="32"/>
        <v>43000</v>
      </c>
      <c r="Z75" s="315"/>
      <c r="AA75" s="316">
        <f t="shared" si="33"/>
        <v>43000</v>
      </c>
      <c r="AB75" s="284"/>
      <c r="AC75" s="284"/>
      <c r="AD75" s="284"/>
      <c r="AE75" s="284"/>
      <c r="AF75" s="304"/>
    </row>
    <row r="76" spans="1:32" s="281" customFormat="1" ht="51" customHeight="1" hidden="1">
      <c r="A76" s="76"/>
      <c r="B76" s="192" t="s">
        <v>24</v>
      </c>
      <c r="C76" s="192" t="s">
        <v>25</v>
      </c>
      <c r="D76" s="192" t="s">
        <v>254</v>
      </c>
      <c r="E76" s="186" t="s">
        <v>26</v>
      </c>
      <c r="F76" s="181"/>
      <c r="G76" s="314"/>
      <c r="H76" s="314"/>
      <c r="I76" s="314"/>
      <c r="J76" s="314"/>
      <c r="K76" s="314"/>
      <c r="L76" s="314"/>
      <c r="M76" s="314">
        <f aca="true" t="shared" si="35" ref="M76:M83">SUM(G76:L76)</f>
        <v>0</v>
      </c>
      <c r="N76" s="314">
        <f>N77</f>
        <v>0</v>
      </c>
      <c r="O76" s="314"/>
      <c r="P76" s="314"/>
      <c r="Q76" s="314"/>
      <c r="R76" s="314"/>
      <c r="S76" s="314"/>
      <c r="T76" s="314"/>
      <c r="U76" s="314"/>
      <c r="V76" s="314"/>
      <c r="W76" s="314"/>
      <c r="X76" s="318"/>
      <c r="Y76" s="315">
        <f t="shared" si="32"/>
        <v>0</v>
      </c>
      <c r="Z76" s="315"/>
      <c r="AA76" s="316">
        <f t="shared" si="33"/>
        <v>0</v>
      </c>
      <c r="AB76" s="284"/>
      <c r="AC76" s="284"/>
      <c r="AD76" s="284"/>
      <c r="AE76" s="284"/>
      <c r="AF76" s="304"/>
    </row>
    <row r="77" spans="1:32" s="281" customFormat="1" ht="28.5" customHeight="1" hidden="1">
      <c r="A77" s="76"/>
      <c r="B77" s="196"/>
      <c r="C77" s="196"/>
      <c r="D77" s="196"/>
      <c r="E77" s="181" t="s">
        <v>588</v>
      </c>
      <c r="F77" s="181"/>
      <c r="G77" s="314"/>
      <c r="H77" s="314"/>
      <c r="I77" s="314"/>
      <c r="J77" s="314"/>
      <c r="K77" s="314"/>
      <c r="L77" s="314"/>
      <c r="M77" s="314">
        <f t="shared" si="35"/>
        <v>0</v>
      </c>
      <c r="N77" s="314"/>
      <c r="O77" s="314"/>
      <c r="P77" s="314"/>
      <c r="Q77" s="314"/>
      <c r="R77" s="314"/>
      <c r="S77" s="314"/>
      <c r="T77" s="314"/>
      <c r="U77" s="314"/>
      <c r="V77" s="314"/>
      <c r="W77" s="314"/>
      <c r="X77" s="318"/>
      <c r="Y77" s="315">
        <f t="shared" si="32"/>
        <v>0</v>
      </c>
      <c r="Z77" s="315"/>
      <c r="AA77" s="316">
        <f t="shared" si="33"/>
        <v>0</v>
      </c>
      <c r="AB77" s="284"/>
      <c r="AC77" s="284"/>
      <c r="AD77" s="284"/>
      <c r="AE77" s="284"/>
      <c r="AF77" s="304"/>
    </row>
    <row r="78" spans="1:32" s="281" customFormat="1" ht="42" customHeight="1" hidden="1">
      <c r="A78" s="76"/>
      <c r="B78" s="192" t="s">
        <v>29</v>
      </c>
      <c r="C78" s="192" t="s">
        <v>664</v>
      </c>
      <c r="D78" s="192" t="s">
        <v>254</v>
      </c>
      <c r="E78" s="186" t="s">
        <v>30</v>
      </c>
      <c r="F78" s="181"/>
      <c r="G78" s="314"/>
      <c r="H78" s="314"/>
      <c r="I78" s="314"/>
      <c r="J78" s="314"/>
      <c r="K78" s="314"/>
      <c r="L78" s="314"/>
      <c r="M78" s="314">
        <f t="shared" si="35"/>
        <v>0</v>
      </c>
      <c r="N78" s="314">
        <f>N79</f>
        <v>0</v>
      </c>
      <c r="O78" s="314">
        <f aca="true" t="shared" si="36" ref="O78:V78">O79</f>
        <v>0</v>
      </c>
      <c r="P78" s="314">
        <f t="shared" si="36"/>
        <v>0</v>
      </c>
      <c r="Q78" s="314">
        <f t="shared" si="36"/>
        <v>0</v>
      </c>
      <c r="R78" s="314">
        <f t="shared" si="36"/>
        <v>0</v>
      </c>
      <c r="S78" s="314">
        <f t="shared" si="36"/>
        <v>0</v>
      </c>
      <c r="T78" s="314">
        <f t="shared" si="36"/>
        <v>0</v>
      </c>
      <c r="U78" s="314">
        <f t="shared" si="36"/>
        <v>0</v>
      </c>
      <c r="V78" s="314">
        <f t="shared" si="36"/>
        <v>0</v>
      </c>
      <c r="W78" s="314"/>
      <c r="X78" s="318"/>
      <c r="Y78" s="315">
        <f>SUM(N78:X78)</f>
        <v>0</v>
      </c>
      <c r="Z78" s="315"/>
      <c r="AA78" s="316">
        <f>M78+Y78</f>
        <v>0</v>
      </c>
      <c r="AB78" s="284"/>
      <c r="AC78" s="284"/>
      <c r="AD78" s="284"/>
      <c r="AE78" s="284"/>
      <c r="AF78" s="304"/>
    </row>
    <row r="79" spans="1:32" s="281" customFormat="1" ht="47.25" customHeight="1" hidden="1">
      <c r="A79" s="76"/>
      <c r="B79" s="192"/>
      <c r="C79" s="192"/>
      <c r="D79" s="192"/>
      <c r="E79" s="181" t="s">
        <v>652</v>
      </c>
      <c r="F79" s="181"/>
      <c r="G79" s="314"/>
      <c r="H79" s="314"/>
      <c r="I79" s="314"/>
      <c r="J79" s="314"/>
      <c r="K79" s="314"/>
      <c r="L79" s="314"/>
      <c r="M79" s="314">
        <f t="shared" si="35"/>
        <v>0</v>
      </c>
      <c r="N79" s="314"/>
      <c r="O79" s="314"/>
      <c r="P79" s="314"/>
      <c r="Q79" s="314"/>
      <c r="R79" s="314"/>
      <c r="S79" s="314"/>
      <c r="T79" s="314"/>
      <c r="U79" s="314"/>
      <c r="V79" s="314"/>
      <c r="W79" s="314"/>
      <c r="X79" s="318"/>
      <c r="Y79" s="315">
        <f>SUM(N79:X79)</f>
        <v>0</v>
      </c>
      <c r="Z79" s="315"/>
      <c r="AA79" s="316">
        <f>M79+Y79</f>
        <v>0</v>
      </c>
      <c r="AB79" s="284"/>
      <c r="AC79" s="284"/>
      <c r="AD79" s="284"/>
      <c r="AE79" s="284"/>
      <c r="AF79" s="304"/>
    </row>
    <row r="80" spans="1:31" s="281" customFormat="1" ht="79.5" customHeight="1" hidden="1">
      <c r="A80" s="76"/>
      <c r="B80" s="101" t="s">
        <v>41</v>
      </c>
      <c r="C80" s="101" t="s">
        <v>386</v>
      </c>
      <c r="D80" s="101" t="s">
        <v>266</v>
      </c>
      <c r="E80" s="116" t="s">
        <v>42</v>
      </c>
      <c r="F80" s="116"/>
      <c r="G80" s="314"/>
      <c r="H80" s="314"/>
      <c r="I80" s="314"/>
      <c r="J80" s="314"/>
      <c r="K80" s="314"/>
      <c r="L80" s="314"/>
      <c r="M80" s="314">
        <f t="shared" si="35"/>
        <v>0</v>
      </c>
      <c r="N80" s="314">
        <f>SUM(N81:N84)</f>
        <v>0</v>
      </c>
      <c r="O80" s="314">
        <f aca="true" t="shared" si="37" ref="O80:X80">SUM(O81:O84)</f>
        <v>0</v>
      </c>
      <c r="P80" s="314">
        <f t="shared" si="37"/>
        <v>0</v>
      </c>
      <c r="Q80" s="314">
        <f t="shared" si="37"/>
        <v>0</v>
      </c>
      <c r="R80" s="314">
        <f t="shared" si="37"/>
        <v>0</v>
      </c>
      <c r="S80" s="314">
        <f t="shared" si="37"/>
        <v>0</v>
      </c>
      <c r="T80" s="314">
        <f t="shared" si="37"/>
        <v>0</v>
      </c>
      <c r="U80" s="314"/>
      <c r="V80" s="314">
        <f t="shared" si="37"/>
        <v>0</v>
      </c>
      <c r="W80" s="314">
        <f t="shared" si="37"/>
        <v>0</v>
      </c>
      <c r="X80" s="314">
        <f t="shared" si="37"/>
        <v>0</v>
      </c>
      <c r="Y80" s="315">
        <f t="shared" si="32"/>
        <v>0</v>
      </c>
      <c r="Z80" s="315"/>
      <c r="AA80" s="316">
        <f t="shared" si="33"/>
        <v>0</v>
      </c>
      <c r="AB80" s="284"/>
      <c r="AC80" s="284"/>
      <c r="AD80" s="284"/>
      <c r="AE80" s="284"/>
    </row>
    <row r="81" spans="1:31" s="337" customFormat="1" ht="66" customHeight="1" hidden="1">
      <c r="A81" s="140"/>
      <c r="B81" s="107"/>
      <c r="C81" s="107"/>
      <c r="D81" s="107"/>
      <c r="E81" s="1" t="s">
        <v>432</v>
      </c>
      <c r="F81" s="1"/>
      <c r="G81" s="335"/>
      <c r="H81" s="335"/>
      <c r="I81" s="335"/>
      <c r="J81" s="335"/>
      <c r="K81" s="335"/>
      <c r="L81" s="335"/>
      <c r="M81" s="314">
        <f t="shared" si="35"/>
        <v>0</v>
      </c>
      <c r="N81" s="314"/>
      <c r="O81" s="335"/>
      <c r="P81" s="335"/>
      <c r="Q81" s="335"/>
      <c r="R81" s="335"/>
      <c r="S81" s="335"/>
      <c r="T81" s="335"/>
      <c r="U81" s="335"/>
      <c r="V81" s="335"/>
      <c r="W81" s="335"/>
      <c r="X81" s="336"/>
      <c r="Y81" s="315">
        <f t="shared" si="32"/>
        <v>0</v>
      </c>
      <c r="Z81" s="315"/>
      <c r="AA81" s="316">
        <f t="shared" si="33"/>
        <v>0</v>
      </c>
      <c r="AB81" s="284"/>
      <c r="AC81" s="284"/>
      <c r="AD81" s="284"/>
      <c r="AE81" s="284"/>
    </row>
    <row r="82" spans="1:31" s="337" customFormat="1" ht="66" customHeight="1" hidden="1">
      <c r="A82" s="140"/>
      <c r="B82" s="107"/>
      <c r="C82" s="107"/>
      <c r="D82" s="107"/>
      <c r="E82" s="1" t="s">
        <v>755</v>
      </c>
      <c r="F82" s="1"/>
      <c r="G82" s="335"/>
      <c r="H82" s="335"/>
      <c r="I82" s="335"/>
      <c r="J82" s="335"/>
      <c r="K82" s="335"/>
      <c r="L82" s="335"/>
      <c r="M82" s="314">
        <f t="shared" si="35"/>
        <v>0</v>
      </c>
      <c r="N82" s="314"/>
      <c r="O82" s="335"/>
      <c r="P82" s="335"/>
      <c r="Q82" s="335"/>
      <c r="R82" s="335"/>
      <c r="S82" s="335"/>
      <c r="T82" s="335"/>
      <c r="U82" s="335"/>
      <c r="V82" s="335"/>
      <c r="W82" s="335"/>
      <c r="X82" s="336"/>
      <c r="Y82" s="315">
        <f>SUM(N82:X82)</f>
        <v>0</v>
      </c>
      <c r="Z82" s="315"/>
      <c r="AA82" s="316">
        <f>M82+Y82</f>
        <v>0</v>
      </c>
      <c r="AB82" s="284"/>
      <c r="AC82" s="284"/>
      <c r="AD82" s="284"/>
      <c r="AE82" s="284"/>
    </row>
    <row r="83" spans="1:31" s="337" customFormat="1" ht="81.75" customHeight="1" hidden="1">
      <c r="A83" s="140"/>
      <c r="B83" s="107"/>
      <c r="C83" s="107"/>
      <c r="D83" s="107"/>
      <c r="E83" s="1" t="s">
        <v>611</v>
      </c>
      <c r="F83" s="1"/>
      <c r="G83" s="335"/>
      <c r="H83" s="335"/>
      <c r="I83" s="335"/>
      <c r="J83" s="335"/>
      <c r="K83" s="335"/>
      <c r="L83" s="335"/>
      <c r="M83" s="314">
        <f t="shared" si="35"/>
        <v>0</v>
      </c>
      <c r="N83" s="314"/>
      <c r="O83" s="335"/>
      <c r="P83" s="335"/>
      <c r="Q83" s="335"/>
      <c r="R83" s="335"/>
      <c r="S83" s="335"/>
      <c r="T83" s="335"/>
      <c r="U83" s="335"/>
      <c r="V83" s="335"/>
      <c r="W83" s="335"/>
      <c r="X83" s="336"/>
      <c r="Y83" s="315">
        <f>SUM(N83:X83)</f>
        <v>0</v>
      </c>
      <c r="Z83" s="315"/>
      <c r="AA83" s="316">
        <f>M83+Y83</f>
        <v>0</v>
      </c>
      <c r="AB83" s="284"/>
      <c r="AC83" s="284"/>
      <c r="AD83" s="284"/>
      <c r="AE83" s="284"/>
    </row>
    <row r="84" spans="1:31" s="337" customFormat="1" ht="62.25" customHeight="1" hidden="1">
      <c r="A84" s="140"/>
      <c r="B84" s="107"/>
      <c r="C84" s="107"/>
      <c r="D84" s="107"/>
      <c r="E84" s="1" t="s">
        <v>479</v>
      </c>
      <c r="F84" s="1"/>
      <c r="G84" s="335"/>
      <c r="H84" s="335"/>
      <c r="I84" s="335"/>
      <c r="J84" s="335"/>
      <c r="K84" s="335"/>
      <c r="L84" s="335"/>
      <c r="M84" s="314">
        <f>SUM(G84:L84)</f>
        <v>0</v>
      </c>
      <c r="N84" s="314"/>
      <c r="O84" s="335"/>
      <c r="P84" s="335"/>
      <c r="Q84" s="335"/>
      <c r="R84" s="335"/>
      <c r="S84" s="335"/>
      <c r="T84" s="335"/>
      <c r="U84" s="335"/>
      <c r="V84" s="335"/>
      <c r="W84" s="335"/>
      <c r="X84" s="336"/>
      <c r="Y84" s="315">
        <f t="shared" si="32"/>
        <v>0</v>
      </c>
      <c r="Z84" s="315"/>
      <c r="AA84" s="316">
        <f>M84+Y84</f>
        <v>0</v>
      </c>
      <c r="AB84" s="284"/>
      <c r="AC84" s="284"/>
      <c r="AD84" s="284"/>
      <c r="AE84" s="284"/>
    </row>
    <row r="85" spans="1:31" s="337" customFormat="1" ht="57.75" customHeight="1" hidden="1">
      <c r="A85" s="140"/>
      <c r="B85" s="101" t="s">
        <v>43</v>
      </c>
      <c r="C85" s="101" t="s">
        <v>44</v>
      </c>
      <c r="D85" s="101" t="s">
        <v>275</v>
      </c>
      <c r="E85" s="116" t="s">
        <v>45</v>
      </c>
      <c r="F85" s="116"/>
      <c r="G85" s="335"/>
      <c r="H85" s="335"/>
      <c r="I85" s="335"/>
      <c r="J85" s="335"/>
      <c r="K85" s="335"/>
      <c r="L85" s="335"/>
      <c r="M85" s="314"/>
      <c r="N85" s="314">
        <f>N86</f>
        <v>0</v>
      </c>
      <c r="O85" s="314">
        <f aca="true" t="shared" si="38" ref="O85:W85">O86</f>
        <v>0</v>
      </c>
      <c r="P85" s="314">
        <f t="shared" si="38"/>
        <v>0</v>
      </c>
      <c r="Q85" s="314">
        <f t="shared" si="38"/>
        <v>0</v>
      </c>
      <c r="R85" s="314">
        <f t="shared" si="38"/>
        <v>0</v>
      </c>
      <c r="S85" s="314">
        <f t="shared" si="38"/>
        <v>0</v>
      </c>
      <c r="T85" s="314">
        <f t="shared" si="38"/>
        <v>0</v>
      </c>
      <c r="U85" s="314">
        <f t="shared" si="38"/>
        <v>0</v>
      </c>
      <c r="V85" s="314">
        <f t="shared" si="38"/>
        <v>0</v>
      </c>
      <c r="W85" s="314">
        <f t="shared" si="38"/>
        <v>0</v>
      </c>
      <c r="X85" s="336"/>
      <c r="Y85" s="315">
        <f>SUM(N85:X85)</f>
        <v>0</v>
      </c>
      <c r="Z85" s="315"/>
      <c r="AA85" s="316">
        <f t="shared" si="33"/>
        <v>0</v>
      </c>
      <c r="AB85" s="284"/>
      <c r="AC85" s="284"/>
      <c r="AD85" s="284"/>
      <c r="AE85" s="284"/>
    </row>
    <row r="86" spans="1:31" s="337" customFormat="1" ht="51.75" customHeight="1" hidden="1">
      <c r="A86" s="140"/>
      <c r="B86" s="107"/>
      <c r="C86" s="107"/>
      <c r="D86" s="107"/>
      <c r="E86" s="1" t="s">
        <v>46</v>
      </c>
      <c r="F86" s="1"/>
      <c r="G86" s="335"/>
      <c r="H86" s="335"/>
      <c r="I86" s="335"/>
      <c r="J86" s="335"/>
      <c r="K86" s="335"/>
      <c r="L86" s="335"/>
      <c r="M86" s="314"/>
      <c r="N86" s="314"/>
      <c r="O86" s="335"/>
      <c r="P86" s="335"/>
      <c r="Q86" s="335"/>
      <c r="R86" s="335"/>
      <c r="S86" s="335"/>
      <c r="T86" s="335"/>
      <c r="U86" s="335"/>
      <c r="V86" s="335"/>
      <c r="W86" s="335"/>
      <c r="X86" s="336"/>
      <c r="Y86" s="315">
        <f>SUM(N86:X86)</f>
        <v>0</v>
      </c>
      <c r="Z86" s="315"/>
      <c r="AA86" s="316">
        <f t="shared" si="33"/>
        <v>0</v>
      </c>
      <c r="AB86" s="284"/>
      <c r="AC86" s="284"/>
      <c r="AD86" s="284"/>
      <c r="AE86" s="284"/>
    </row>
    <row r="87" spans="1:31" s="337" customFormat="1" ht="85.5" customHeight="1" hidden="1">
      <c r="A87" s="140"/>
      <c r="B87" s="101" t="s">
        <v>617</v>
      </c>
      <c r="C87" s="101" t="s">
        <v>618</v>
      </c>
      <c r="D87" s="101" t="s">
        <v>597</v>
      </c>
      <c r="E87" s="116" t="s">
        <v>756</v>
      </c>
      <c r="F87" s="1"/>
      <c r="G87" s="335"/>
      <c r="H87" s="335"/>
      <c r="I87" s="335"/>
      <c r="J87" s="335"/>
      <c r="K87" s="335"/>
      <c r="L87" s="335"/>
      <c r="M87" s="314"/>
      <c r="N87" s="314"/>
      <c r="O87" s="314">
        <v>0</v>
      </c>
      <c r="P87" s="335"/>
      <c r="Q87" s="335"/>
      <c r="R87" s="335"/>
      <c r="S87" s="335"/>
      <c r="T87" s="335"/>
      <c r="U87" s="335"/>
      <c r="V87" s="335"/>
      <c r="W87" s="335"/>
      <c r="X87" s="318"/>
      <c r="Y87" s="315">
        <f>SUM(N87:X87)</f>
        <v>0</v>
      </c>
      <c r="Z87" s="315"/>
      <c r="AA87" s="316">
        <f>M87+Y87</f>
        <v>0</v>
      </c>
      <c r="AB87" s="284"/>
      <c r="AC87" s="284"/>
      <c r="AD87" s="284"/>
      <c r="AE87" s="284"/>
    </row>
    <row r="88" spans="1:31" s="281" customFormat="1" ht="62.25" customHeight="1" hidden="1">
      <c r="A88" s="76"/>
      <c r="B88" s="101" t="s">
        <v>510</v>
      </c>
      <c r="C88" s="101" t="s">
        <v>511</v>
      </c>
      <c r="D88" s="101" t="s">
        <v>268</v>
      </c>
      <c r="E88" s="116" t="s">
        <v>512</v>
      </c>
      <c r="F88" s="116"/>
      <c r="G88" s="314"/>
      <c r="H88" s="314"/>
      <c r="I88" s="314"/>
      <c r="J88" s="314"/>
      <c r="K88" s="314"/>
      <c r="L88" s="314"/>
      <c r="M88" s="314"/>
      <c r="N88" s="308">
        <f>SUM(N89:N92)</f>
        <v>0</v>
      </c>
      <c r="O88" s="314">
        <f aca="true" t="shared" si="39" ref="O88:V88">SUM(O89:O92)</f>
        <v>0</v>
      </c>
      <c r="P88" s="314">
        <f>SUM(P89:P92)</f>
        <v>0</v>
      </c>
      <c r="Q88" s="314">
        <f t="shared" si="39"/>
        <v>0</v>
      </c>
      <c r="R88" s="314">
        <f t="shared" si="39"/>
        <v>0</v>
      </c>
      <c r="S88" s="314">
        <f t="shared" si="39"/>
        <v>0</v>
      </c>
      <c r="T88" s="314">
        <f t="shared" si="39"/>
        <v>0</v>
      </c>
      <c r="U88" s="314">
        <f t="shared" si="39"/>
        <v>0</v>
      </c>
      <c r="V88" s="314">
        <f t="shared" si="39"/>
        <v>0</v>
      </c>
      <c r="W88" s="314"/>
      <c r="X88" s="318"/>
      <c r="Y88" s="332">
        <f t="shared" si="32"/>
        <v>0</v>
      </c>
      <c r="Z88" s="332"/>
      <c r="AA88" s="333">
        <f t="shared" si="33"/>
        <v>0</v>
      </c>
      <c r="AB88" s="284"/>
      <c r="AC88" s="284"/>
      <c r="AD88" s="284"/>
      <c r="AE88" s="284"/>
    </row>
    <row r="89" spans="1:31" s="337" customFormat="1" ht="62.25" customHeight="1" hidden="1">
      <c r="A89" s="140"/>
      <c r="B89" s="107"/>
      <c r="C89" s="107"/>
      <c r="D89" s="107"/>
      <c r="E89" s="1" t="s">
        <v>757</v>
      </c>
      <c r="F89" s="1"/>
      <c r="G89" s="335"/>
      <c r="H89" s="335"/>
      <c r="I89" s="335"/>
      <c r="J89" s="335"/>
      <c r="K89" s="335"/>
      <c r="L89" s="335"/>
      <c r="M89" s="314"/>
      <c r="N89" s="314"/>
      <c r="O89" s="335"/>
      <c r="P89" s="335"/>
      <c r="Q89" s="335"/>
      <c r="R89" s="335"/>
      <c r="S89" s="335"/>
      <c r="T89" s="335"/>
      <c r="U89" s="335"/>
      <c r="V89" s="335"/>
      <c r="W89" s="335"/>
      <c r="X89" s="336"/>
      <c r="Y89" s="315">
        <f aca="true" t="shared" si="40" ref="Y89:Y96">SUM(N89:X89)</f>
        <v>0</v>
      </c>
      <c r="Z89" s="315"/>
      <c r="AA89" s="316">
        <f t="shared" si="33"/>
        <v>0</v>
      </c>
      <c r="AB89" s="284"/>
      <c r="AC89" s="284"/>
      <c r="AD89" s="284"/>
      <c r="AE89" s="284"/>
    </row>
    <row r="90" spans="1:31" s="337" customFormat="1" ht="82.5" customHeight="1" hidden="1">
      <c r="A90" s="140"/>
      <c r="B90" s="107"/>
      <c r="C90" s="107"/>
      <c r="D90" s="107"/>
      <c r="E90" s="1" t="s">
        <v>758</v>
      </c>
      <c r="F90" s="1"/>
      <c r="G90" s="338"/>
      <c r="H90" s="339"/>
      <c r="I90" s="339"/>
      <c r="J90" s="339"/>
      <c r="K90" s="339"/>
      <c r="L90" s="339"/>
      <c r="M90" s="303"/>
      <c r="N90" s="308"/>
      <c r="O90" s="340"/>
      <c r="P90" s="340"/>
      <c r="Q90" s="340"/>
      <c r="R90" s="340"/>
      <c r="S90" s="340"/>
      <c r="T90" s="340"/>
      <c r="U90" s="340"/>
      <c r="V90" s="340"/>
      <c r="W90" s="340"/>
      <c r="X90" s="341"/>
      <c r="Y90" s="332">
        <f>SUM(N90:X90)</f>
        <v>0</v>
      </c>
      <c r="Z90" s="332"/>
      <c r="AA90" s="333">
        <f t="shared" si="33"/>
        <v>0</v>
      </c>
      <c r="AB90" s="284"/>
      <c r="AC90" s="284"/>
      <c r="AD90" s="284"/>
      <c r="AE90" s="284"/>
    </row>
    <row r="91" spans="1:31" s="337" customFormat="1" ht="77.25" customHeight="1" hidden="1">
      <c r="A91" s="140"/>
      <c r="B91" s="107"/>
      <c r="C91" s="107"/>
      <c r="D91" s="107"/>
      <c r="E91" s="1" t="s">
        <v>759</v>
      </c>
      <c r="F91" s="1"/>
      <c r="G91" s="338"/>
      <c r="H91" s="339"/>
      <c r="I91" s="339"/>
      <c r="J91" s="339"/>
      <c r="K91" s="339"/>
      <c r="L91" s="339"/>
      <c r="M91" s="303"/>
      <c r="N91" s="308"/>
      <c r="O91" s="340"/>
      <c r="P91" s="340"/>
      <c r="Q91" s="340"/>
      <c r="R91" s="340"/>
      <c r="S91" s="340"/>
      <c r="T91" s="340"/>
      <c r="U91" s="340"/>
      <c r="V91" s="308"/>
      <c r="W91" s="340"/>
      <c r="X91" s="341"/>
      <c r="Y91" s="332">
        <f>SUM(N91:X91)</f>
        <v>0</v>
      </c>
      <c r="Z91" s="332"/>
      <c r="AA91" s="333">
        <f>M91+Y91</f>
        <v>0</v>
      </c>
      <c r="AB91" s="284"/>
      <c r="AC91" s="284"/>
      <c r="AD91" s="284"/>
      <c r="AE91" s="284"/>
    </row>
    <row r="92" spans="1:31" s="337" customFormat="1" ht="81" customHeight="1" hidden="1">
      <c r="A92" s="140"/>
      <c r="B92" s="107"/>
      <c r="C92" s="107"/>
      <c r="D92" s="107"/>
      <c r="E92" s="1" t="s">
        <v>516</v>
      </c>
      <c r="F92" s="1"/>
      <c r="G92" s="338"/>
      <c r="H92" s="339"/>
      <c r="I92" s="339"/>
      <c r="J92" s="339"/>
      <c r="K92" s="339"/>
      <c r="L92" s="339"/>
      <c r="M92" s="303"/>
      <c r="N92" s="308"/>
      <c r="O92" s="340"/>
      <c r="P92" s="340"/>
      <c r="Q92" s="340"/>
      <c r="R92" s="340"/>
      <c r="S92" s="340"/>
      <c r="T92" s="340"/>
      <c r="U92" s="340"/>
      <c r="V92" s="340"/>
      <c r="W92" s="340"/>
      <c r="X92" s="341"/>
      <c r="Y92" s="332">
        <f t="shared" si="40"/>
        <v>0</v>
      </c>
      <c r="Z92" s="332"/>
      <c r="AA92" s="333">
        <f t="shared" si="33"/>
        <v>0</v>
      </c>
      <c r="AB92" s="284"/>
      <c r="AC92" s="284"/>
      <c r="AD92" s="284"/>
      <c r="AE92" s="284"/>
    </row>
    <row r="93" spans="1:31" s="337" customFormat="1" ht="39.75" customHeight="1" hidden="1">
      <c r="A93" s="140"/>
      <c r="B93" s="101" t="s">
        <v>498</v>
      </c>
      <c r="C93" s="101" t="s">
        <v>494</v>
      </c>
      <c r="D93" s="101" t="s">
        <v>263</v>
      </c>
      <c r="E93" s="116" t="s">
        <v>495</v>
      </c>
      <c r="F93" s="116"/>
      <c r="G93" s="342"/>
      <c r="H93" s="342"/>
      <c r="I93" s="342"/>
      <c r="J93" s="342"/>
      <c r="K93" s="342"/>
      <c r="L93" s="342"/>
      <c r="M93" s="343">
        <f>SUM(G93:L93)</f>
        <v>0</v>
      </c>
      <c r="N93" s="343">
        <f>N94</f>
        <v>0</v>
      </c>
      <c r="O93" s="343">
        <f aca="true" t="shared" si="41" ref="O93:W93">O94</f>
        <v>0</v>
      </c>
      <c r="P93" s="343">
        <f t="shared" si="41"/>
        <v>0</v>
      </c>
      <c r="Q93" s="343">
        <f t="shared" si="41"/>
        <v>0</v>
      </c>
      <c r="R93" s="343">
        <f t="shared" si="41"/>
        <v>0</v>
      </c>
      <c r="S93" s="343">
        <f t="shared" si="41"/>
        <v>0</v>
      </c>
      <c r="T93" s="343">
        <f t="shared" si="41"/>
        <v>0</v>
      </c>
      <c r="U93" s="343"/>
      <c r="V93" s="343">
        <f t="shared" si="41"/>
        <v>0</v>
      </c>
      <c r="W93" s="314">
        <f t="shared" si="41"/>
        <v>0</v>
      </c>
      <c r="X93" s="336"/>
      <c r="Y93" s="315">
        <f t="shared" si="40"/>
        <v>0</v>
      </c>
      <c r="Z93" s="315"/>
      <c r="AA93" s="316">
        <f t="shared" si="33"/>
        <v>0</v>
      </c>
      <c r="AB93" s="284"/>
      <c r="AC93" s="284"/>
      <c r="AD93" s="284"/>
      <c r="AE93" s="284"/>
    </row>
    <row r="94" spans="1:31" s="337" customFormat="1" ht="227.25" customHeight="1" hidden="1">
      <c r="A94" s="140"/>
      <c r="B94" s="107"/>
      <c r="C94" s="107"/>
      <c r="D94" s="107"/>
      <c r="E94" s="1" t="s">
        <v>499</v>
      </c>
      <c r="F94" s="1"/>
      <c r="G94" s="342"/>
      <c r="H94" s="342"/>
      <c r="I94" s="342"/>
      <c r="J94" s="342"/>
      <c r="K94" s="342"/>
      <c r="L94" s="342"/>
      <c r="M94" s="343">
        <f>SUM(G94:L94)</f>
        <v>0</v>
      </c>
      <c r="N94" s="342"/>
      <c r="O94" s="342"/>
      <c r="P94" s="342"/>
      <c r="Q94" s="342"/>
      <c r="R94" s="342"/>
      <c r="S94" s="342"/>
      <c r="T94" s="342"/>
      <c r="U94" s="342"/>
      <c r="V94" s="342"/>
      <c r="W94" s="314"/>
      <c r="X94" s="336"/>
      <c r="Y94" s="315">
        <f t="shared" si="40"/>
        <v>0</v>
      </c>
      <c r="Z94" s="315">
        <f>SUM(O94:Y94)</f>
        <v>0</v>
      </c>
      <c r="AA94" s="316">
        <f t="shared" si="33"/>
        <v>0</v>
      </c>
      <c r="AB94" s="115"/>
      <c r="AC94" s="115"/>
      <c r="AD94" s="115"/>
      <c r="AE94" s="115"/>
    </row>
    <row r="95" spans="1:31" s="337" customFormat="1" ht="42" customHeight="1" hidden="1">
      <c r="A95" s="140"/>
      <c r="B95" s="101" t="s">
        <v>659</v>
      </c>
      <c r="C95" s="101" t="s">
        <v>518</v>
      </c>
      <c r="D95" s="101" t="s">
        <v>519</v>
      </c>
      <c r="E95" s="165" t="s">
        <v>527</v>
      </c>
      <c r="F95" s="116"/>
      <c r="G95" s="343">
        <f>G96</f>
        <v>0</v>
      </c>
      <c r="H95" s="343">
        <f aca="true" t="shared" si="42" ref="H95:Z95">H96</f>
        <v>0</v>
      </c>
      <c r="I95" s="343">
        <f t="shared" si="42"/>
        <v>0</v>
      </c>
      <c r="J95" s="343">
        <f t="shared" si="42"/>
        <v>0</v>
      </c>
      <c r="K95" s="343">
        <f t="shared" si="42"/>
        <v>0</v>
      </c>
      <c r="L95" s="343">
        <f t="shared" si="42"/>
        <v>0</v>
      </c>
      <c r="M95" s="343">
        <f>SUM(G95:L95)</f>
        <v>0</v>
      </c>
      <c r="N95" s="343">
        <f t="shared" si="42"/>
        <v>0</v>
      </c>
      <c r="O95" s="343">
        <f t="shared" si="42"/>
        <v>0</v>
      </c>
      <c r="P95" s="343">
        <f t="shared" si="42"/>
        <v>0</v>
      </c>
      <c r="Q95" s="343">
        <f t="shared" si="42"/>
        <v>0</v>
      </c>
      <c r="R95" s="343">
        <f t="shared" si="42"/>
        <v>0</v>
      </c>
      <c r="S95" s="343">
        <f t="shared" si="42"/>
        <v>0</v>
      </c>
      <c r="T95" s="343">
        <f t="shared" si="42"/>
        <v>0</v>
      </c>
      <c r="U95" s="343"/>
      <c r="V95" s="343">
        <f t="shared" si="42"/>
        <v>0</v>
      </c>
      <c r="W95" s="343">
        <f t="shared" si="42"/>
        <v>0</v>
      </c>
      <c r="X95" s="343">
        <f t="shared" si="42"/>
        <v>0</v>
      </c>
      <c r="Y95" s="344">
        <f t="shared" si="40"/>
        <v>0</v>
      </c>
      <c r="Z95" s="343">
        <f t="shared" si="42"/>
        <v>0</v>
      </c>
      <c r="AA95" s="345">
        <f t="shared" si="33"/>
        <v>0</v>
      </c>
      <c r="AB95" s="284"/>
      <c r="AC95" s="284"/>
      <c r="AD95" s="284"/>
      <c r="AE95" s="284"/>
    </row>
    <row r="96" spans="1:31" s="337" customFormat="1" ht="30.75" customHeight="1" hidden="1">
      <c r="A96" s="140"/>
      <c r="B96" s="107"/>
      <c r="C96" s="107"/>
      <c r="D96" s="107"/>
      <c r="E96" s="1" t="s">
        <v>588</v>
      </c>
      <c r="F96" s="1"/>
      <c r="G96" s="342"/>
      <c r="H96" s="342"/>
      <c r="I96" s="342"/>
      <c r="J96" s="342"/>
      <c r="K96" s="342"/>
      <c r="L96" s="342"/>
      <c r="M96" s="343">
        <f>SUM(G96:L96)</f>
        <v>0</v>
      </c>
      <c r="N96" s="342"/>
      <c r="O96" s="342"/>
      <c r="P96" s="342"/>
      <c r="Q96" s="342"/>
      <c r="R96" s="342"/>
      <c r="S96" s="342"/>
      <c r="T96" s="342"/>
      <c r="U96" s="342"/>
      <c r="V96" s="343"/>
      <c r="W96" s="342"/>
      <c r="X96" s="342"/>
      <c r="Y96" s="344">
        <f t="shared" si="40"/>
        <v>0</v>
      </c>
      <c r="Z96" s="342"/>
      <c r="AA96" s="345">
        <f t="shared" si="33"/>
        <v>0</v>
      </c>
      <c r="AB96" s="284"/>
      <c r="AC96" s="284"/>
      <c r="AD96" s="284"/>
      <c r="AE96" s="284"/>
    </row>
    <row r="97" spans="1:31" s="281" customFormat="1" ht="33.75" customHeight="1">
      <c r="A97" s="136"/>
      <c r="B97" s="77"/>
      <c r="C97" s="77"/>
      <c r="D97" s="77"/>
      <c r="E97" s="166" t="s">
        <v>359</v>
      </c>
      <c r="F97" s="166"/>
      <c r="G97" s="346">
        <f aca="true" t="shared" si="43" ref="G97:M97">G62+G80+G88+G65+G93+G72</f>
        <v>0</v>
      </c>
      <c r="H97" s="346">
        <f t="shared" si="43"/>
        <v>0</v>
      </c>
      <c r="I97" s="346">
        <f t="shared" si="43"/>
        <v>0</v>
      </c>
      <c r="J97" s="346">
        <f t="shared" si="43"/>
        <v>0</v>
      </c>
      <c r="K97" s="346">
        <f t="shared" si="43"/>
        <v>0</v>
      </c>
      <c r="L97" s="346">
        <f t="shared" si="43"/>
        <v>0</v>
      </c>
      <c r="M97" s="346">
        <f t="shared" si="43"/>
        <v>0</v>
      </c>
      <c r="N97" s="347">
        <f aca="true" t="shared" si="44" ref="N97:AA97">N62+N76+N80+N88+N65+N93+N72+N85+N87+N95+N78</f>
        <v>0</v>
      </c>
      <c r="O97" s="347">
        <f t="shared" si="44"/>
        <v>0</v>
      </c>
      <c r="P97" s="347">
        <f t="shared" si="44"/>
        <v>0</v>
      </c>
      <c r="Q97" s="347">
        <f t="shared" si="44"/>
        <v>0</v>
      </c>
      <c r="R97" s="347">
        <f t="shared" si="44"/>
        <v>0</v>
      </c>
      <c r="S97" s="347">
        <f t="shared" si="44"/>
        <v>0</v>
      </c>
      <c r="T97" s="347">
        <f t="shared" si="44"/>
        <v>0</v>
      </c>
      <c r="U97" s="347">
        <f t="shared" si="44"/>
        <v>0</v>
      </c>
      <c r="V97" s="347">
        <f>V62+V76+V80+V88+V65+V93+V72+V85+V87+V95+V78</f>
        <v>-71745.4</v>
      </c>
      <c r="W97" s="347">
        <f t="shared" si="44"/>
        <v>0</v>
      </c>
      <c r="X97" s="347">
        <f t="shared" si="44"/>
        <v>0</v>
      </c>
      <c r="Y97" s="347">
        <f t="shared" si="44"/>
        <v>-71745.4</v>
      </c>
      <c r="Z97" s="347">
        <f t="shared" si="44"/>
        <v>0</v>
      </c>
      <c r="AA97" s="347">
        <f t="shared" si="44"/>
        <v>-71745.4</v>
      </c>
      <c r="AB97" s="284"/>
      <c r="AC97" s="284"/>
      <c r="AD97" s="284"/>
      <c r="AE97" s="284"/>
    </row>
    <row r="98" spans="1:31" s="281" customFormat="1" ht="61.5" customHeight="1">
      <c r="A98" s="136"/>
      <c r="B98" s="77" t="s">
        <v>490</v>
      </c>
      <c r="C98" s="77"/>
      <c r="D98" s="77"/>
      <c r="E98" s="134" t="s">
        <v>683</v>
      </c>
      <c r="F98" s="134"/>
      <c r="G98" s="303"/>
      <c r="H98" s="304"/>
      <c r="I98" s="304"/>
      <c r="J98" s="304"/>
      <c r="K98" s="304"/>
      <c r="L98" s="304"/>
      <c r="M98" s="303"/>
      <c r="N98" s="308"/>
      <c r="O98" s="308"/>
      <c r="P98" s="308"/>
      <c r="Q98" s="308"/>
      <c r="R98" s="308"/>
      <c r="S98" s="308"/>
      <c r="T98" s="308"/>
      <c r="U98" s="308"/>
      <c r="V98" s="308"/>
      <c r="W98" s="308"/>
      <c r="X98" s="331"/>
      <c r="Y98" s="332"/>
      <c r="Z98" s="332"/>
      <c r="AA98" s="333"/>
      <c r="AB98" s="284"/>
      <c r="AC98" s="284"/>
      <c r="AD98" s="284"/>
      <c r="AE98" s="284"/>
    </row>
    <row r="99" spans="1:31" s="281" customFormat="1" ht="51" customHeight="1">
      <c r="A99" s="76"/>
      <c r="B99" s="77" t="s">
        <v>491</v>
      </c>
      <c r="C99" s="101"/>
      <c r="D99" s="101"/>
      <c r="E99" s="134" t="s">
        <v>558</v>
      </c>
      <c r="F99" s="134"/>
      <c r="G99" s="303"/>
      <c r="H99" s="304"/>
      <c r="I99" s="304"/>
      <c r="J99" s="304"/>
      <c r="K99" s="304"/>
      <c r="L99" s="304"/>
      <c r="M99" s="303"/>
      <c r="N99" s="308"/>
      <c r="O99" s="308"/>
      <c r="P99" s="308"/>
      <c r="Q99" s="308"/>
      <c r="R99" s="308"/>
      <c r="S99" s="308"/>
      <c r="T99" s="308"/>
      <c r="U99" s="308"/>
      <c r="V99" s="308"/>
      <c r="W99" s="308"/>
      <c r="X99" s="331"/>
      <c r="Y99" s="332"/>
      <c r="Z99" s="332"/>
      <c r="AA99" s="333"/>
      <c r="AB99" s="284"/>
      <c r="AC99" s="284"/>
      <c r="AD99" s="284"/>
      <c r="AE99" s="284"/>
    </row>
    <row r="100" spans="1:31" s="281" customFormat="1" ht="77.25" customHeight="1" hidden="1">
      <c r="A100" s="76" t="s">
        <v>260</v>
      </c>
      <c r="B100" s="101" t="s">
        <v>95</v>
      </c>
      <c r="C100" s="101" t="s">
        <v>317</v>
      </c>
      <c r="D100" s="101" t="s">
        <v>261</v>
      </c>
      <c r="E100" s="116" t="s">
        <v>454</v>
      </c>
      <c r="F100" s="116"/>
      <c r="G100" s="303"/>
      <c r="H100" s="304"/>
      <c r="I100" s="304"/>
      <c r="J100" s="304"/>
      <c r="K100" s="304"/>
      <c r="L100" s="304"/>
      <c r="M100" s="303">
        <f>SUM(G100:L100)</f>
        <v>0</v>
      </c>
      <c r="N100" s="308">
        <f>N102+N101</f>
        <v>0</v>
      </c>
      <c r="O100" s="308">
        <f aca="true" t="shared" si="45" ref="O100:X100">O102+O101</f>
        <v>0</v>
      </c>
      <c r="P100" s="308">
        <f t="shared" si="45"/>
        <v>0</v>
      </c>
      <c r="Q100" s="308">
        <f t="shared" si="45"/>
        <v>0</v>
      </c>
      <c r="R100" s="308">
        <f t="shared" si="45"/>
        <v>0</v>
      </c>
      <c r="S100" s="308">
        <f t="shared" si="45"/>
        <v>0</v>
      </c>
      <c r="T100" s="308">
        <f t="shared" si="45"/>
        <v>0</v>
      </c>
      <c r="U100" s="308">
        <f t="shared" si="45"/>
        <v>0</v>
      </c>
      <c r="V100" s="308">
        <f t="shared" si="45"/>
        <v>0</v>
      </c>
      <c r="W100" s="308">
        <f t="shared" si="45"/>
        <v>0</v>
      </c>
      <c r="X100" s="331">
        <f t="shared" si="45"/>
        <v>0</v>
      </c>
      <c r="Y100" s="332">
        <f aca="true" t="shared" si="46" ref="Y100:Y111">SUM(N100:X100)</f>
        <v>0</v>
      </c>
      <c r="Z100" s="332"/>
      <c r="AA100" s="333">
        <f aca="true" t="shared" si="47" ref="AA100:AA111">M100+Y100</f>
        <v>0</v>
      </c>
      <c r="AB100" s="284"/>
      <c r="AC100" s="284"/>
      <c r="AD100" s="284"/>
      <c r="AE100" s="284"/>
    </row>
    <row r="101" spans="1:31" s="281" customFormat="1" ht="44.25" customHeight="1" hidden="1">
      <c r="A101" s="76"/>
      <c r="B101" s="101"/>
      <c r="C101" s="101"/>
      <c r="D101" s="101"/>
      <c r="E101" s="116" t="s">
        <v>96</v>
      </c>
      <c r="F101" s="116"/>
      <c r="G101" s="303"/>
      <c r="H101" s="304"/>
      <c r="I101" s="304"/>
      <c r="J101" s="304"/>
      <c r="K101" s="304"/>
      <c r="L101" s="304"/>
      <c r="M101" s="303"/>
      <c r="N101" s="308"/>
      <c r="O101" s="308"/>
      <c r="P101" s="308"/>
      <c r="Q101" s="308"/>
      <c r="R101" s="308"/>
      <c r="S101" s="308"/>
      <c r="T101" s="308"/>
      <c r="U101" s="308"/>
      <c r="V101" s="308"/>
      <c r="W101" s="308"/>
      <c r="X101" s="331"/>
      <c r="Y101" s="332">
        <f t="shared" si="46"/>
        <v>0</v>
      </c>
      <c r="Z101" s="332"/>
      <c r="AA101" s="333">
        <f t="shared" si="47"/>
        <v>0</v>
      </c>
      <c r="AB101" s="348"/>
      <c r="AC101" s="348"/>
      <c r="AD101" s="348"/>
      <c r="AE101" s="348"/>
    </row>
    <row r="102" spans="1:31" s="281" customFormat="1" ht="51.75" customHeight="1" hidden="1">
      <c r="A102" s="76"/>
      <c r="B102" s="101"/>
      <c r="C102" s="101"/>
      <c r="D102" s="101"/>
      <c r="E102" s="116" t="s">
        <v>479</v>
      </c>
      <c r="F102" s="116"/>
      <c r="G102" s="303"/>
      <c r="H102" s="304"/>
      <c r="I102" s="304"/>
      <c r="J102" s="304"/>
      <c r="K102" s="304"/>
      <c r="L102" s="304"/>
      <c r="M102" s="303"/>
      <c r="N102" s="308"/>
      <c r="O102" s="308"/>
      <c r="P102" s="308"/>
      <c r="Q102" s="308"/>
      <c r="R102" s="308"/>
      <c r="S102" s="308"/>
      <c r="T102" s="308"/>
      <c r="U102" s="308"/>
      <c r="V102" s="308"/>
      <c r="W102" s="308"/>
      <c r="X102" s="331"/>
      <c r="Y102" s="332">
        <f t="shared" si="46"/>
        <v>0</v>
      </c>
      <c r="Z102" s="332"/>
      <c r="AA102" s="333">
        <f t="shared" si="47"/>
        <v>0</v>
      </c>
      <c r="AB102" s="284"/>
      <c r="AC102" s="284"/>
      <c r="AD102" s="284"/>
      <c r="AE102" s="284"/>
    </row>
    <row r="103" spans="1:31" s="281" customFormat="1" ht="81.75" customHeight="1">
      <c r="A103" s="76"/>
      <c r="B103" s="101" t="s">
        <v>590</v>
      </c>
      <c r="C103" s="101" t="s">
        <v>591</v>
      </c>
      <c r="D103" s="101" t="s">
        <v>275</v>
      </c>
      <c r="E103" s="116" t="s">
        <v>592</v>
      </c>
      <c r="F103" s="116"/>
      <c r="G103" s="303"/>
      <c r="H103" s="304"/>
      <c r="I103" s="304"/>
      <c r="J103" s="304"/>
      <c r="K103" s="304"/>
      <c r="L103" s="304"/>
      <c r="M103" s="303"/>
      <c r="N103" s="308">
        <f>SUM(N104:N108)</f>
        <v>99602</v>
      </c>
      <c r="O103" s="308">
        <f aca="true" t="shared" si="48" ref="O103:V103">SUM(O104:O108)</f>
        <v>0</v>
      </c>
      <c r="P103" s="308">
        <f t="shared" si="48"/>
        <v>0</v>
      </c>
      <c r="Q103" s="308">
        <f t="shared" si="48"/>
        <v>0</v>
      </c>
      <c r="R103" s="308">
        <f t="shared" si="48"/>
        <v>0</v>
      </c>
      <c r="S103" s="308">
        <f t="shared" si="48"/>
        <v>0</v>
      </c>
      <c r="T103" s="308">
        <f t="shared" si="48"/>
        <v>0</v>
      </c>
      <c r="U103" s="308">
        <f t="shared" si="48"/>
        <v>0</v>
      </c>
      <c r="V103" s="308">
        <f t="shared" si="48"/>
        <v>0</v>
      </c>
      <c r="W103" s="308">
        <f>W104+W105</f>
        <v>0</v>
      </c>
      <c r="X103" s="331"/>
      <c r="Y103" s="332">
        <f t="shared" si="46"/>
        <v>99602</v>
      </c>
      <c r="Z103" s="332"/>
      <c r="AA103" s="333">
        <f t="shared" si="47"/>
        <v>99602</v>
      </c>
      <c r="AB103" s="284"/>
      <c r="AC103" s="284"/>
      <c r="AD103" s="284"/>
      <c r="AE103" s="284"/>
    </row>
    <row r="104" spans="1:31" s="281" customFormat="1" ht="40.5" customHeight="1">
      <c r="A104" s="76"/>
      <c r="B104" s="101"/>
      <c r="C104" s="101"/>
      <c r="D104" s="101"/>
      <c r="E104" s="1" t="s">
        <v>593</v>
      </c>
      <c r="F104" s="116"/>
      <c r="G104" s="303"/>
      <c r="H104" s="304"/>
      <c r="I104" s="304"/>
      <c r="J104" s="304"/>
      <c r="K104" s="304"/>
      <c r="L104" s="304"/>
      <c r="M104" s="303"/>
      <c r="N104" s="308">
        <v>9000</v>
      </c>
      <c r="O104" s="308"/>
      <c r="P104" s="308"/>
      <c r="Q104" s="308"/>
      <c r="R104" s="308"/>
      <c r="S104" s="308"/>
      <c r="T104" s="308"/>
      <c r="U104" s="308"/>
      <c r="V104" s="308"/>
      <c r="W104" s="308"/>
      <c r="X104" s="331"/>
      <c r="Y104" s="332">
        <f t="shared" si="46"/>
        <v>9000</v>
      </c>
      <c r="Z104" s="332"/>
      <c r="AA104" s="333">
        <f t="shared" si="47"/>
        <v>9000</v>
      </c>
      <c r="AB104" s="284"/>
      <c r="AC104" s="284"/>
      <c r="AD104" s="284"/>
      <c r="AE104" s="284"/>
    </row>
    <row r="105" spans="1:31" s="281" customFormat="1" ht="123.75" customHeight="1" hidden="1">
      <c r="A105" s="76"/>
      <c r="B105" s="101"/>
      <c r="C105" s="101"/>
      <c r="D105" s="101"/>
      <c r="E105" s="1" t="s">
        <v>606</v>
      </c>
      <c r="F105" s="116"/>
      <c r="G105" s="303"/>
      <c r="H105" s="304"/>
      <c r="I105" s="304"/>
      <c r="J105" s="304"/>
      <c r="K105" s="304"/>
      <c r="L105" s="304"/>
      <c r="M105" s="303"/>
      <c r="N105" s="308"/>
      <c r="O105" s="308"/>
      <c r="P105" s="308"/>
      <c r="Q105" s="308"/>
      <c r="R105" s="308"/>
      <c r="S105" s="308"/>
      <c r="T105" s="308"/>
      <c r="U105" s="308"/>
      <c r="V105" s="308"/>
      <c r="W105" s="308"/>
      <c r="X105" s="331"/>
      <c r="Y105" s="332">
        <f t="shared" si="46"/>
        <v>0</v>
      </c>
      <c r="Z105" s="332"/>
      <c r="AA105" s="333">
        <f aca="true" t="shared" si="49" ref="AA105:AA110">M105+Y105</f>
        <v>0</v>
      </c>
      <c r="AB105" s="284"/>
      <c r="AC105" s="284"/>
      <c r="AD105" s="284"/>
      <c r="AE105" s="284"/>
    </row>
    <row r="106" spans="1:31" s="281" customFormat="1" ht="88.5" customHeight="1">
      <c r="A106" s="76"/>
      <c r="B106" s="101"/>
      <c r="C106" s="101"/>
      <c r="D106" s="101"/>
      <c r="E106" s="1" t="s">
        <v>760</v>
      </c>
      <c r="F106" s="116"/>
      <c r="G106" s="303"/>
      <c r="H106" s="304"/>
      <c r="I106" s="304"/>
      <c r="J106" s="304"/>
      <c r="K106" s="304"/>
      <c r="L106" s="304"/>
      <c r="M106" s="303"/>
      <c r="N106" s="308">
        <v>90602</v>
      </c>
      <c r="O106" s="308"/>
      <c r="P106" s="308"/>
      <c r="Q106" s="308"/>
      <c r="R106" s="308"/>
      <c r="S106" s="308"/>
      <c r="T106" s="308"/>
      <c r="U106" s="308"/>
      <c r="V106" s="308"/>
      <c r="W106" s="308"/>
      <c r="X106" s="331"/>
      <c r="Y106" s="332">
        <f>SUM(N106:X106)</f>
        <v>90602</v>
      </c>
      <c r="Z106" s="332"/>
      <c r="AA106" s="333">
        <f t="shared" si="49"/>
        <v>90602</v>
      </c>
      <c r="AB106" s="284"/>
      <c r="AC106" s="284"/>
      <c r="AD106" s="284"/>
      <c r="AE106" s="284"/>
    </row>
    <row r="107" spans="1:31" s="281" customFormat="1" ht="57.75" customHeight="1" hidden="1">
      <c r="A107" s="76"/>
      <c r="B107" s="101"/>
      <c r="C107" s="101"/>
      <c r="D107" s="101"/>
      <c r="E107" s="1" t="s">
        <v>479</v>
      </c>
      <c r="F107" s="116"/>
      <c r="G107" s="303"/>
      <c r="H107" s="304"/>
      <c r="I107" s="304"/>
      <c r="J107" s="304"/>
      <c r="K107" s="304"/>
      <c r="L107" s="304"/>
      <c r="M107" s="303"/>
      <c r="N107" s="308"/>
      <c r="O107" s="308"/>
      <c r="P107" s="308"/>
      <c r="Q107" s="308"/>
      <c r="R107" s="308"/>
      <c r="S107" s="308"/>
      <c r="T107" s="308"/>
      <c r="U107" s="308"/>
      <c r="V107" s="308"/>
      <c r="W107" s="308"/>
      <c r="X107" s="331"/>
      <c r="Y107" s="332">
        <f t="shared" si="46"/>
        <v>0</v>
      </c>
      <c r="Z107" s="332"/>
      <c r="AA107" s="333">
        <f t="shared" si="49"/>
        <v>0</v>
      </c>
      <c r="AB107" s="284"/>
      <c r="AC107" s="284"/>
      <c r="AD107" s="284"/>
      <c r="AE107" s="284"/>
    </row>
    <row r="108" spans="1:31" s="281" customFormat="1" ht="114.75" customHeight="1" hidden="1">
      <c r="A108" s="76"/>
      <c r="B108" s="101"/>
      <c r="C108" s="101"/>
      <c r="D108" s="101"/>
      <c r="E108" s="1" t="s">
        <v>607</v>
      </c>
      <c r="F108" s="116"/>
      <c r="G108" s="303"/>
      <c r="H108" s="304"/>
      <c r="I108" s="304"/>
      <c r="J108" s="304"/>
      <c r="K108" s="304"/>
      <c r="L108" s="304"/>
      <c r="M108" s="303"/>
      <c r="N108" s="308"/>
      <c r="O108" s="308"/>
      <c r="P108" s="308"/>
      <c r="Q108" s="308"/>
      <c r="R108" s="308"/>
      <c r="S108" s="308"/>
      <c r="T108" s="308"/>
      <c r="U108" s="308"/>
      <c r="V108" s="308"/>
      <c r="W108" s="308"/>
      <c r="X108" s="331"/>
      <c r="Y108" s="332">
        <f t="shared" si="46"/>
        <v>0</v>
      </c>
      <c r="Z108" s="332"/>
      <c r="AA108" s="333">
        <f t="shared" si="49"/>
        <v>0</v>
      </c>
      <c r="AB108" s="284"/>
      <c r="AC108" s="284"/>
      <c r="AD108" s="284"/>
      <c r="AE108" s="284"/>
    </row>
    <row r="109" spans="1:31" s="281" customFormat="1" ht="36" customHeight="1" hidden="1">
      <c r="A109" s="76"/>
      <c r="B109" s="76" t="s">
        <v>641</v>
      </c>
      <c r="C109" s="76" t="s">
        <v>109</v>
      </c>
      <c r="D109" s="76"/>
      <c r="E109" s="102" t="s">
        <v>110</v>
      </c>
      <c r="F109" s="102"/>
      <c r="G109" s="314">
        <f aca="true" t="shared" si="50" ref="G109:L109">G110</f>
        <v>0</v>
      </c>
      <c r="H109" s="314">
        <f t="shared" si="50"/>
        <v>0</v>
      </c>
      <c r="I109" s="314">
        <f t="shared" si="50"/>
        <v>0</v>
      </c>
      <c r="J109" s="314">
        <f t="shared" si="50"/>
        <v>0</v>
      </c>
      <c r="K109" s="314">
        <f t="shared" si="50"/>
        <v>0</v>
      </c>
      <c r="L109" s="314">
        <f t="shared" si="50"/>
        <v>0</v>
      </c>
      <c r="M109" s="314">
        <f>SUM(G109:L109)</f>
        <v>0</v>
      </c>
      <c r="N109" s="314">
        <f>N110</f>
        <v>0</v>
      </c>
      <c r="O109" s="314">
        <f aca="true" t="shared" si="51" ref="O109:V109">O110</f>
        <v>0</v>
      </c>
      <c r="P109" s="314">
        <f t="shared" si="51"/>
        <v>0</v>
      </c>
      <c r="Q109" s="314">
        <f t="shared" si="51"/>
        <v>0</v>
      </c>
      <c r="R109" s="314">
        <f t="shared" si="51"/>
        <v>0</v>
      </c>
      <c r="S109" s="314">
        <f t="shared" si="51"/>
        <v>0</v>
      </c>
      <c r="T109" s="314">
        <f t="shared" si="51"/>
        <v>0</v>
      </c>
      <c r="U109" s="314">
        <f t="shared" si="51"/>
        <v>0</v>
      </c>
      <c r="V109" s="314">
        <f t="shared" si="51"/>
        <v>0</v>
      </c>
      <c r="W109" s="308"/>
      <c r="X109" s="331"/>
      <c r="Y109" s="332">
        <f t="shared" si="46"/>
        <v>0</v>
      </c>
      <c r="Z109" s="332"/>
      <c r="AA109" s="333">
        <f t="shared" si="49"/>
        <v>0</v>
      </c>
      <c r="AB109" s="284"/>
      <c r="AC109" s="284"/>
      <c r="AD109" s="284"/>
      <c r="AE109" s="284"/>
    </row>
    <row r="110" spans="1:31" s="281" customFormat="1" ht="165.75" customHeight="1" hidden="1">
      <c r="A110" s="76"/>
      <c r="B110" s="76" t="s">
        <v>640</v>
      </c>
      <c r="C110" s="76" t="s">
        <v>212</v>
      </c>
      <c r="D110" s="76" t="s">
        <v>268</v>
      </c>
      <c r="E110" s="102" t="s">
        <v>642</v>
      </c>
      <c r="F110" s="108"/>
      <c r="G110" s="314"/>
      <c r="H110" s="314"/>
      <c r="I110" s="314"/>
      <c r="J110" s="314"/>
      <c r="K110" s="314"/>
      <c r="L110" s="314"/>
      <c r="M110" s="314">
        <f>SUM(G110:L110)</f>
        <v>0</v>
      </c>
      <c r="N110" s="314"/>
      <c r="O110" s="314"/>
      <c r="P110" s="314"/>
      <c r="Q110" s="314"/>
      <c r="R110" s="314"/>
      <c r="S110" s="314"/>
      <c r="T110" s="314"/>
      <c r="U110" s="314"/>
      <c r="V110" s="314"/>
      <c r="W110" s="308"/>
      <c r="X110" s="331"/>
      <c r="Y110" s="332">
        <f t="shared" si="46"/>
        <v>0</v>
      </c>
      <c r="Z110" s="332"/>
      <c r="AA110" s="333">
        <f t="shared" si="49"/>
        <v>0</v>
      </c>
      <c r="AB110" s="284"/>
      <c r="AC110" s="284"/>
      <c r="AD110" s="284"/>
      <c r="AE110" s="284"/>
    </row>
    <row r="111" spans="1:31" s="281" customFormat="1" ht="54" customHeight="1">
      <c r="A111" s="136"/>
      <c r="B111" s="77"/>
      <c r="C111" s="77"/>
      <c r="D111" s="77"/>
      <c r="E111" s="166" t="s">
        <v>359</v>
      </c>
      <c r="F111" s="166"/>
      <c r="G111" s="349">
        <f>G100+G109</f>
        <v>0</v>
      </c>
      <c r="H111" s="350">
        <f>H100</f>
        <v>0</v>
      </c>
      <c r="I111" s="350">
        <f>I100</f>
        <v>0</v>
      </c>
      <c r="J111" s="350">
        <f>J100</f>
        <v>0</v>
      </c>
      <c r="K111" s="350">
        <f>K100</f>
        <v>0</v>
      </c>
      <c r="L111" s="350">
        <f>L100</f>
        <v>0</v>
      </c>
      <c r="M111" s="349">
        <f>SUM(G111:L111)</f>
        <v>0</v>
      </c>
      <c r="N111" s="351">
        <f aca="true" t="shared" si="52" ref="N111:W111">N100+N103</f>
        <v>99602</v>
      </c>
      <c r="O111" s="351">
        <f t="shared" si="52"/>
        <v>0</v>
      </c>
      <c r="P111" s="351">
        <f t="shared" si="52"/>
        <v>0</v>
      </c>
      <c r="Q111" s="351">
        <f>Q100+Q103</f>
        <v>0</v>
      </c>
      <c r="R111" s="351">
        <f>R100+R103</f>
        <v>0</v>
      </c>
      <c r="S111" s="351">
        <f t="shared" si="52"/>
        <v>0</v>
      </c>
      <c r="T111" s="351">
        <f t="shared" si="52"/>
        <v>0</v>
      </c>
      <c r="U111" s="351">
        <f t="shared" si="52"/>
        <v>0</v>
      </c>
      <c r="V111" s="351">
        <f t="shared" si="52"/>
        <v>0</v>
      </c>
      <c r="W111" s="351">
        <f t="shared" si="52"/>
        <v>0</v>
      </c>
      <c r="X111" s="351">
        <f>X100</f>
        <v>0</v>
      </c>
      <c r="Y111" s="333">
        <f t="shared" si="46"/>
        <v>99602</v>
      </c>
      <c r="Z111" s="351">
        <f>Z100</f>
        <v>0</v>
      </c>
      <c r="AA111" s="333">
        <f t="shared" si="47"/>
        <v>99602</v>
      </c>
      <c r="AB111" s="284"/>
      <c r="AC111" s="284"/>
      <c r="AD111" s="284"/>
      <c r="AE111" s="284"/>
    </row>
    <row r="112" spans="1:31" s="281" customFormat="1" ht="54" customHeight="1">
      <c r="A112" s="136"/>
      <c r="B112" s="77" t="s">
        <v>360</v>
      </c>
      <c r="C112" s="77"/>
      <c r="D112" s="77"/>
      <c r="E112" s="78" t="s">
        <v>745</v>
      </c>
      <c r="F112" s="78"/>
      <c r="G112" s="303"/>
      <c r="H112" s="304"/>
      <c r="I112" s="304"/>
      <c r="J112" s="304"/>
      <c r="K112" s="304"/>
      <c r="L112" s="304"/>
      <c r="M112" s="303"/>
      <c r="N112" s="308"/>
      <c r="O112" s="308"/>
      <c r="P112" s="308"/>
      <c r="Q112" s="308"/>
      <c r="R112" s="308"/>
      <c r="S112" s="308"/>
      <c r="T112" s="308"/>
      <c r="U112" s="308"/>
      <c r="V112" s="308"/>
      <c r="W112" s="308"/>
      <c r="X112" s="331"/>
      <c r="Y112" s="332"/>
      <c r="Z112" s="332"/>
      <c r="AA112" s="333"/>
      <c r="AB112" s="284"/>
      <c r="AC112" s="284"/>
      <c r="AD112" s="284"/>
      <c r="AE112" s="284"/>
    </row>
    <row r="113" spans="1:31" s="281" customFormat="1" ht="39" customHeight="1">
      <c r="A113" s="136"/>
      <c r="B113" s="93" t="s">
        <v>361</v>
      </c>
      <c r="C113" s="77"/>
      <c r="D113" s="77"/>
      <c r="E113" s="78" t="s">
        <v>554</v>
      </c>
      <c r="F113" s="78"/>
      <c r="G113" s="303"/>
      <c r="H113" s="304"/>
      <c r="I113" s="304"/>
      <c r="J113" s="304"/>
      <c r="K113" s="304"/>
      <c r="L113" s="304"/>
      <c r="M113" s="303"/>
      <c r="N113" s="308"/>
      <c r="O113" s="308"/>
      <c r="P113" s="308"/>
      <c r="Q113" s="308"/>
      <c r="R113" s="308"/>
      <c r="S113" s="308"/>
      <c r="T113" s="308"/>
      <c r="U113" s="308"/>
      <c r="V113" s="308"/>
      <c r="W113" s="308"/>
      <c r="X113" s="331"/>
      <c r="Y113" s="332"/>
      <c r="Z113" s="332"/>
      <c r="AA113" s="333"/>
      <c r="AB113" s="284"/>
      <c r="AC113" s="284"/>
      <c r="AD113" s="284"/>
      <c r="AE113" s="284"/>
    </row>
    <row r="114" spans="1:31" s="281" customFormat="1" ht="82.5" customHeight="1" hidden="1">
      <c r="A114" s="76" t="s">
        <v>260</v>
      </c>
      <c r="B114" s="101" t="s">
        <v>97</v>
      </c>
      <c r="C114" s="101" t="s">
        <v>317</v>
      </c>
      <c r="D114" s="101" t="s">
        <v>261</v>
      </c>
      <c r="E114" s="116" t="s">
        <v>454</v>
      </c>
      <c r="F114" s="116"/>
      <c r="G114" s="343"/>
      <c r="H114" s="343"/>
      <c r="I114" s="343"/>
      <c r="J114" s="343"/>
      <c r="K114" s="343"/>
      <c r="L114" s="343"/>
      <c r="M114" s="343">
        <f aca="true" t="shared" si="53" ref="M114:M122">SUM(G114:L114)</f>
        <v>0</v>
      </c>
      <c r="N114" s="352">
        <f>N115</f>
        <v>0</v>
      </c>
      <c r="O114" s="352">
        <f aca="true" t="shared" si="54" ref="O114:X114">O115</f>
        <v>0</v>
      </c>
      <c r="P114" s="352">
        <f t="shared" si="54"/>
        <v>0</v>
      </c>
      <c r="Q114" s="352">
        <f t="shared" si="54"/>
        <v>0</v>
      </c>
      <c r="R114" s="352">
        <f t="shared" si="54"/>
        <v>0</v>
      </c>
      <c r="S114" s="352">
        <f t="shared" si="54"/>
        <v>0</v>
      </c>
      <c r="T114" s="352">
        <f t="shared" si="54"/>
        <v>0</v>
      </c>
      <c r="U114" s="352">
        <f t="shared" si="54"/>
        <v>0</v>
      </c>
      <c r="V114" s="352">
        <f t="shared" si="54"/>
        <v>0</v>
      </c>
      <c r="W114" s="352">
        <f t="shared" si="54"/>
        <v>0</v>
      </c>
      <c r="X114" s="353">
        <f t="shared" si="54"/>
        <v>0</v>
      </c>
      <c r="Y114" s="315">
        <f aca="true" t="shared" si="55" ref="Y114:Y126">SUM(N114:X114)</f>
        <v>0</v>
      </c>
      <c r="Z114" s="315"/>
      <c r="AA114" s="316">
        <f aca="true" t="shared" si="56" ref="AA114:AA126">M114+Y114</f>
        <v>0</v>
      </c>
      <c r="AB114" s="284"/>
      <c r="AC114" s="284"/>
      <c r="AD114" s="284"/>
      <c r="AE114" s="284"/>
    </row>
    <row r="115" spans="1:31" s="281" customFormat="1" ht="46.5" customHeight="1" hidden="1">
      <c r="A115" s="76"/>
      <c r="B115" s="107"/>
      <c r="C115" s="107"/>
      <c r="D115" s="107"/>
      <c r="E115" s="1" t="s">
        <v>98</v>
      </c>
      <c r="F115" s="1"/>
      <c r="G115" s="343"/>
      <c r="H115" s="343"/>
      <c r="I115" s="343"/>
      <c r="J115" s="343"/>
      <c r="K115" s="343"/>
      <c r="L115" s="343"/>
      <c r="M115" s="343">
        <f t="shared" si="53"/>
        <v>0</v>
      </c>
      <c r="N115" s="352"/>
      <c r="O115" s="314"/>
      <c r="P115" s="314"/>
      <c r="Q115" s="314"/>
      <c r="R115" s="314"/>
      <c r="S115" s="314"/>
      <c r="T115" s="314"/>
      <c r="U115" s="314"/>
      <c r="V115" s="314"/>
      <c r="W115" s="314"/>
      <c r="X115" s="318"/>
      <c r="Y115" s="315">
        <f t="shared" si="55"/>
        <v>0</v>
      </c>
      <c r="Z115" s="315"/>
      <c r="AA115" s="316">
        <f t="shared" si="56"/>
        <v>0</v>
      </c>
      <c r="AB115" s="284"/>
      <c r="AC115" s="284"/>
      <c r="AD115" s="284"/>
      <c r="AE115" s="284"/>
    </row>
    <row r="116" spans="1:31" s="281" customFormat="1" ht="33.75" customHeight="1">
      <c r="A116" s="76"/>
      <c r="B116" s="101" t="s">
        <v>148</v>
      </c>
      <c r="C116" s="101" t="s">
        <v>149</v>
      </c>
      <c r="D116" s="101" t="s">
        <v>287</v>
      </c>
      <c r="E116" s="102" t="s">
        <v>681</v>
      </c>
      <c r="F116" s="102"/>
      <c r="G116" s="343"/>
      <c r="H116" s="343"/>
      <c r="I116" s="343"/>
      <c r="J116" s="343"/>
      <c r="K116" s="343"/>
      <c r="L116" s="343"/>
      <c r="M116" s="343">
        <f t="shared" si="53"/>
        <v>0</v>
      </c>
      <c r="N116" s="352">
        <f aca="true" t="shared" si="57" ref="N116:X116">N117</f>
        <v>56400</v>
      </c>
      <c r="O116" s="352">
        <f t="shared" si="57"/>
        <v>0</v>
      </c>
      <c r="P116" s="352">
        <f t="shared" si="57"/>
        <v>0</v>
      </c>
      <c r="Q116" s="352">
        <f t="shared" si="57"/>
        <v>0</v>
      </c>
      <c r="R116" s="352">
        <f t="shared" si="57"/>
        <v>0</v>
      </c>
      <c r="S116" s="352">
        <f t="shared" si="57"/>
        <v>0</v>
      </c>
      <c r="T116" s="352">
        <f t="shared" si="57"/>
        <v>0</v>
      </c>
      <c r="U116" s="352">
        <f t="shared" si="57"/>
        <v>0</v>
      </c>
      <c r="V116" s="352">
        <f t="shared" si="57"/>
        <v>0</v>
      </c>
      <c r="W116" s="352">
        <f t="shared" si="57"/>
        <v>0</v>
      </c>
      <c r="X116" s="353">
        <f t="shared" si="57"/>
        <v>0</v>
      </c>
      <c r="Y116" s="315">
        <f t="shared" si="55"/>
        <v>56400</v>
      </c>
      <c r="Z116" s="315"/>
      <c r="AA116" s="316">
        <f t="shared" si="56"/>
        <v>56400</v>
      </c>
      <c r="AB116" s="284"/>
      <c r="AC116" s="284"/>
      <c r="AD116" s="284"/>
      <c r="AE116" s="284"/>
    </row>
    <row r="117" spans="1:33" s="281" customFormat="1" ht="41.25" customHeight="1">
      <c r="A117" s="76"/>
      <c r="B117" s="107"/>
      <c r="C117" s="107"/>
      <c r="D117" s="107"/>
      <c r="E117" s="1" t="s">
        <v>150</v>
      </c>
      <c r="F117" s="1"/>
      <c r="G117" s="343"/>
      <c r="H117" s="343"/>
      <c r="I117" s="343"/>
      <c r="J117" s="343"/>
      <c r="K117" s="343"/>
      <c r="L117" s="343"/>
      <c r="M117" s="343">
        <f t="shared" si="53"/>
        <v>0</v>
      </c>
      <c r="N117" s="352">
        <f>13400+43000</f>
        <v>56400</v>
      </c>
      <c r="O117" s="314"/>
      <c r="P117" s="314"/>
      <c r="Q117" s="314"/>
      <c r="R117" s="314"/>
      <c r="S117" s="314"/>
      <c r="T117" s="314"/>
      <c r="U117" s="314"/>
      <c r="V117" s="314"/>
      <c r="W117" s="314"/>
      <c r="X117" s="318"/>
      <c r="Y117" s="315">
        <f t="shared" si="55"/>
        <v>56400</v>
      </c>
      <c r="Z117" s="315"/>
      <c r="AA117" s="316">
        <f t="shared" si="56"/>
        <v>56400</v>
      </c>
      <c r="AB117" s="354"/>
      <c r="AC117" s="355"/>
      <c r="AD117" s="355"/>
      <c r="AE117" s="355"/>
      <c r="AF117" s="355"/>
      <c r="AG117" s="355"/>
    </row>
    <row r="118" spans="1:31" s="281" customFormat="1" ht="21" hidden="1">
      <c r="A118" s="76"/>
      <c r="B118" s="101" t="s">
        <v>151</v>
      </c>
      <c r="C118" s="101" t="s">
        <v>152</v>
      </c>
      <c r="D118" s="101" t="s">
        <v>275</v>
      </c>
      <c r="E118" s="116" t="s">
        <v>153</v>
      </c>
      <c r="F118" s="116"/>
      <c r="G118" s="343"/>
      <c r="H118" s="343"/>
      <c r="I118" s="343"/>
      <c r="J118" s="343"/>
      <c r="K118" s="343"/>
      <c r="L118" s="343"/>
      <c r="M118" s="343">
        <f t="shared" si="53"/>
        <v>0</v>
      </c>
      <c r="N118" s="314"/>
      <c r="O118" s="314">
        <f aca="true" t="shared" si="58" ref="O118:X118">O119</f>
        <v>0</v>
      </c>
      <c r="P118" s="314">
        <f t="shared" si="58"/>
        <v>0</v>
      </c>
      <c r="Q118" s="314">
        <f t="shared" si="58"/>
        <v>0</v>
      </c>
      <c r="R118" s="314">
        <f t="shared" si="58"/>
        <v>0</v>
      </c>
      <c r="S118" s="314">
        <f t="shared" si="58"/>
        <v>0</v>
      </c>
      <c r="T118" s="314">
        <f t="shared" si="58"/>
        <v>0</v>
      </c>
      <c r="U118" s="314">
        <f t="shared" si="58"/>
        <v>0</v>
      </c>
      <c r="V118" s="314">
        <f t="shared" si="58"/>
        <v>0</v>
      </c>
      <c r="W118" s="314">
        <f t="shared" si="58"/>
        <v>0</v>
      </c>
      <c r="X118" s="314">
        <f t="shared" si="58"/>
        <v>0</v>
      </c>
      <c r="Y118" s="315">
        <f t="shared" si="55"/>
        <v>0</v>
      </c>
      <c r="Z118" s="314"/>
      <c r="AA118" s="316">
        <f t="shared" si="56"/>
        <v>0</v>
      </c>
      <c r="AB118" s="284"/>
      <c r="AC118" s="284"/>
      <c r="AD118" s="284"/>
      <c r="AE118" s="284"/>
    </row>
    <row r="119" spans="1:31" s="281" customFormat="1" ht="42.75" customHeight="1" hidden="1">
      <c r="A119" s="76" t="s">
        <v>282</v>
      </c>
      <c r="B119" s="107"/>
      <c r="C119" s="107"/>
      <c r="D119" s="107"/>
      <c r="E119" s="1" t="s">
        <v>154</v>
      </c>
      <c r="F119" s="1"/>
      <c r="G119" s="343"/>
      <c r="H119" s="343"/>
      <c r="I119" s="343"/>
      <c r="J119" s="343"/>
      <c r="K119" s="343"/>
      <c r="L119" s="343"/>
      <c r="M119" s="343">
        <f t="shared" si="53"/>
        <v>0</v>
      </c>
      <c r="N119" s="314"/>
      <c r="O119" s="314"/>
      <c r="P119" s="314"/>
      <c r="Q119" s="314"/>
      <c r="R119" s="314"/>
      <c r="S119" s="314"/>
      <c r="T119" s="314"/>
      <c r="U119" s="314"/>
      <c r="V119" s="314"/>
      <c r="W119" s="314"/>
      <c r="X119" s="314"/>
      <c r="Y119" s="315">
        <f t="shared" si="55"/>
        <v>0</v>
      </c>
      <c r="Z119" s="314"/>
      <c r="AA119" s="316">
        <f t="shared" si="56"/>
        <v>0</v>
      </c>
      <c r="AB119" s="284"/>
      <c r="AC119" s="284"/>
      <c r="AD119" s="284"/>
      <c r="AE119" s="284"/>
    </row>
    <row r="120" spans="1:31" s="281" customFormat="1" ht="30" customHeight="1">
      <c r="A120" s="76" t="s">
        <v>283</v>
      </c>
      <c r="B120" s="101" t="s">
        <v>155</v>
      </c>
      <c r="C120" s="101" t="s">
        <v>156</v>
      </c>
      <c r="D120" s="101" t="s">
        <v>394</v>
      </c>
      <c r="E120" s="102" t="s">
        <v>157</v>
      </c>
      <c r="F120" s="102"/>
      <c r="G120" s="343"/>
      <c r="H120" s="343"/>
      <c r="I120" s="343"/>
      <c r="J120" s="343"/>
      <c r="K120" s="343"/>
      <c r="L120" s="343"/>
      <c r="M120" s="343">
        <f t="shared" si="53"/>
        <v>0</v>
      </c>
      <c r="N120" s="314">
        <v>25700</v>
      </c>
      <c r="O120" s="314"/>
      <c r="P120" s="314"/>
      <c r="Q120" s="314"/>
      <c r="R120" s="314"/>
      <c r="S120" s="314"/>
      <c r="T120" s="314"/>
      <c r="U120" s="314"/>
      <c r="V120" s="314"/>
      <c r="W120" s="314"/>
      <c r="X120" s="314"/>
      <c r="Y120" s="315">
        <f t="shared" si="55"/>
        <v>25700</v>
      </c>
      <c r="Z120" s="314"/>
      <c r="AA120" s="316">
        <f t="shared" si="56"/>
        <v>25700</v>
      </c>
      <c r="AB120" s="348"/>
      <c r="AC120" s="348"/>
      <c r="AD120" s="348"/>
      <c r="AE120" s="348"/>
    </row>
    <row r="121" spans="1:31" s="281" customFormat="1" ht="31.5" customHeight="1">
      <c r="A121" s="76" t="s">
        <v>396</v>
      </c>
      <c r="B121" s="101" t="s">
        <v>158</v>
      </c>
      <c r="C121" s="101" t="s">
        <v>159</v>
      </c>
      <c r="D121" s="101" t="s">
        <v>394</v>
      </c>
      <c r="E121" s="116" t="s">
        <v>160</v>
      </c>
      <c r="F121" s="116"/>
      <c r="G121" s="343"/>
      <c r="H121" s="343"/>
      <c r="I121" s="343"/>
      <c r="J121" s="343"/>
      <c r="K121" s="343"/>
      <c r="L121" s="343"/>
      <c r="M121" s="343">
        <f t="shared" si="53"/>
        <v>0</v>
      </c>
      <c r="N121" s="314">
        <v>35000</v>
      </c>
      <c r="O121" s="314"/>
      <c r="P121" s="314"/>
      <c r="Q121" s="314"/>
      <c r="R121" s="314"/>
      <c r="S121" s="314"/>
      <c r="T121" s="314">
        <f>T122</f>
        <v>0</v>
      </c>
      <c r="U121" s="314">
        <f>U122</f>
        <v>0</v>
      </c>
      <c r="V121" s="314">
        <f>V122</f>
        <v>0</v>
      </c>
      <c r="W121" s="314">
        <f>W122</f>
        <v>0</v>
      </c>
      <c r="X121" s="314">
        <f>X122</f>
        <v>0</v>
      </c>
      <c r="Y121" s="315">
        <f t="shared" si="55"/>
        <v>35000</v>
      </c>
      <c r="Z121" s="314"/>
      <c r="AA121" s="316">
        <f t="shared" si="56"/>
        <v>35000</v>
      </c>
      <c r="AB121" s="284"/>
      <c r="AC121" s="284"/>
      <c r="AD121" s="284"/>
      <c r="AE121" s="284"/>
    </row>
    <row r="122" spans="1:31" s="281" customFormat="1" ht="40.5" customHeight="1" hidden="1">
      <c r="A122" s="76"/>
      <c r="B122" s="101" t="s">
        <v>161</v>
      </c>
      <c r="C122" s="101" t="s">
        <v>393</v>
      </c>
      <c r="D122" s="101" t="s">
        <v>395</v>
      </c>
      <c r="E122" s="116" t="s">
        <v>162</v>
      </c>
      <c r="F122" s="116"/>
      <c r="G122" s="343"/>
      <c r="H122" s="343"/>
      <c r="I122" s="343"/>
      <c r="J122" s="343"/>
      <c r="K122" s="343"/>
      <c r="L122" s="343"/>
      <c r="M122" s="343">
        <f t="shared" si="53"/>
        <v>0</v>
      </c>
      <c r="N122" s="314">
        <f aca="true" t="shared" si="59" ref="N122:X122">SUM(N123:N125)</f>
        <v>0</v>
      </c>
      <c r="O122" s="314">
        <f t="shared" si="59"/>
        <v>0</v>
      </c>
      <c r="P122" s="314">
        <f t="shared" si="59"/>
        <v>0</v>
      </c>
      <c r="Q122" s="314">
        <f t="shared" si="59"/>
        <v>0</v>
      </c>
      <c r="R122" s="314">
        <f t="shared" si="59"/>
        <v>0</v>
      </c>
      <c r="S122" s="314">
        <f t="shared" si="59"/>
        <v>0</v>
      </c>
      <c r="T122" s="314">
        <f t="shared" si="59"/>
        <v>0</v>
      </c>
      <c r="U122" s="314">
        <f t="shared" si="59"/>
        <v>0</v>
      </c>
      <c r="V122" s="314">
        <f t="shared" si="59"/>
        <v>0</v>
      </c>
      <c r="W122" s="314">
        <f t="shared" si="59"/>
        <v>0</v>
      </c>
      <c r="X122" s="314">
        <f t="shared" si="59"/>
        <v>0</v>
      </c>
      <c r="Y122" s="315">
        <f t="shared" si="55"/>
        <v>0</v>
      </c>
      <c r="Z122" s="314"/>
      <c r="AA122" s="316">
        <f t="shared" si="56"/>
        <v>0</v>
      </c>
      <c r="AB122" s="284"/>
      <c r="AC122" s="284"/>
      <c r="AD122" s="284"/>
      <c r="AE122" s="284"/>
    </row>
    <row r="123" spans="1:31" s="281" customFormat="1" ht="42" customHeight="1" hidden="1">
      <c r="A123" s="76" t="s">
        <v>284</v>
      </c>
      <c r="B123" s="101"/>
      <c r="C123" s="101"/>
      <c r="D123" s="101"/>
      <c r="E123" s="1" t="s">
        <v>424</v>
      </c>
      <c r="F123" s="1"/>
      <c r="G123" s="343"/>
      <c r="H123" s="343"/>
      <c r="I123" s="343"/>
      <c r="J123" s="343"/>
      <c r="K123" s="343"/>
      <c r="L123" s="343"/>
      <c r="M123" s="343">
        <f>SUM(G123:L123)</f>
        <v>0</v>
      </c>
      <c r="N123" s="314"/>
      <c r="O123" s="314"/>
      <c r="P123" s="314"/>
      <c r="Q123" s="314"/>
      <c r="R123" s="314"/>
      <c r="S123" s="314"/>
      <c r="T123" s="314"/>
      <c r="U123" s="314"/>
      <c r="V123" s="314"/>
      <c r="W123" s="314"/>
      <c r="X123" s="314"/>
      <c r="Y123" s="315">
        <f t="shared" si="55"/>
        <v>0</v>
      </c>
      <c r="Z123" s="314"/>
      <c r="AA123" s="316">
        <f t="shared" si="56"/>
        <v>0</v>
      </c>
      <c r="AB123" s="284"/>
      <c r="AC123" s="284"/>
      <c r="AD123" s="284"/>
      <c r="AE123" s="284"/>
    </row>
    <row r="124" spans="1:31" s="281" customFormat="1" ht="57.75" customHeight="1" hidden="1">
      <c r="A124" s="76"/>
      <c r="B124" s="101"/>
      <c r="C124" s="101"/>
      <c r="D124" s="101"/>
      <c r="E124" s="1" t="s">
        <v>583</v>
      </c>
      <c r="F124" s="1"/>
      <c r="G124" s="343"/>
      <c r="H124" s="343"/>
      <c r="I124" s="343"/>
      <c r="J124" s="343"/>
      <c r="K124" s="343"/>
      <c r="L124" s="343"/>
      <c r="M124" s="343">
        <f>SUM(G124:L124)</f>
        <v>0</v>
      </c>
      <c r="N124" s="314"/>
      <c r="O124" s="314"/>
      <c r="P124" s="314"/>
      <c r="Q124" s="314"/>
      <c r="R124" s="314"/>
      <c r="S124" s="314"/>
      <c r="T124" s="314"/>
      <c r="U124" s="314"/>
      <c r="V124" s="314"/>
      <c r="W124" s="314"/>
      <c r="X124" s="314"/>
      <c r="Y124" s="315">
        <f>SUM(N124:X124)</f>
        <v>0</v>
      </c>
      <c r="Z124" s="314"/>
      <c r="AA124" s="316">
        <f>M124+Y124</f>
        <v>0</v>
      </c>
      <c r="AB124" s="284"/>
      <c r="AC124" s="284"/>
      <c r="AD124" s="284"/>
      <c r="AE124" s="284"/>
    </row>
    <row r="125" spans="1:31" s="281" customFormat="1" ht="36" hidden="1">
      <c r="A125" s="76" t="s">
        <v>289</v>
      </c>
      <c r="B125" s="101"/>
      <c r="C125" s="101"/>
      <c r="D125" s="101"/>
      <c r="E125" s="1" t="s">
        <v>486</v>
      </c>
      <c r="F125" s="1"/>
      <c r="G125" s="343"/>
      <c r="H125" s="343"/>
      <c r="I125" s="343"/>
      <c r="J125" s="343"/>
      <c r="K125" s="343"/>
      <c r="L125" s="343"/>
      <c r="M125" s="343"/>
      <c r="N125" s="314"/>
      <c r="O125" s="314"/>
      <c r="P125" s="314"/>
      <c r="Q125" s="314"/>
      <c r="R125" s="314"/>
      <c r="S125" s="314"/>
      <c r="T125" s="314"/>
      <c r="U125" s="314"/>
      <c r="V125" s="314" t="s">
        <v>705</v>
      </c>
      <c r="W125" s="314"/>
      <c r="X125" s="314"/>
      <c r="Y125" s="315">
        <f t="shared" si="55"/>
        <v>0</v>
      </c>
      <c r="Z125" s="314" t="e">
        <f>#REF!+Z126</f>
        <v>#REF!</v>
      </c>
      <c r="AA125" s="316">
        <f>M125+Y125</f>
        <v>0</v>
      </c>
      <c r="AB125" s="284"/>
      <c r="AC125" s="284"/>
      <c r="AD125" s="284"/>
      <c r="AE125" s="284"/>
    </row>
    <row r="126" spans="1:31" s="281" customFormat="1" ht="41.25" customHeight="1">
      <c r="A126" s="76"/>
      <c r="B126" s="76" t="s">
        <v>163</v>
      </c>
      <c r="C126" s="76" t="s">
        <v>164</v>
      </c>
      <c r="D126" s="76" t="s">
        <v>290</v>
      </c>
      <c r="E126" s="102" t="s">
        <v>165</v>
      </c>
      <c r="F126" s="102"/>
      <c r="G126" s="343"/>
      <c r="H126" s="343"/>
      <c r="I126" s="343"/>
      <c r="J126" s="343"/>
      <c r="K126" s="343"/>
      <c r="L126" s="343"/>
      <c r="M126" s="343">
        <f aca="true" t="shared" si="60" ref="M126:M135">SUM(G126:L126)</f>
        <v>0</v>
      </c>
      <c r="N126" s="314">
        <v>15500</v>
      </c>
      <c r="O126" s="314"/>
      <c r="P126" s="314"/>
      <c r="Q126" s="314"/>
      <c r="R126" s="314"/>
      <c r="S126" s="314"/>
      <c r="T126" s="314"/>
      <c r="U126" s="314"/>
      <c r="V126" s="314"/>
      <c r="W126" s="314"/>
      <c r="X126" s="314"/>
      <c r="Y126" s="315">
        <f t="shared" si="55"/>
        <v>15500</v>
      </c>
      <c r="Z126" s="314"/>
      <c r="AA126" s="316">
        <f t="shared" si="56"/>
        <v>15500</v>
      </c>
      <c r="AB126" s="319"/>
      <c r="AC126" s="319"/>
      <c r="AD126" s="319"/>
      <c r="AE126" s="319"/>
    </row>
    <row r="127" spans="1:31" s="281" customFormat="1" ht="41.25" customHeight="1">
      <c r="A127" s="76"/>
      <c r="B127" s="76" t="s">
        <v>171</v>
      </c>
      <c r="C127" s="76" t="s">
        <v>172</v>
      </c>
      <c r="D127" s="76" t="s">
        <v>290</v>
      </c>
      <c r="E127" s="102" t="s">
        <v>173</v>
      </c>
      <c r="F127" s="102"/>
      <c r="G127" s="343">
        <f>G128</f>
        <v>0</v>
      </c>
      <c r="H127" s="343"/>
      <c r="I127" s="343"/>
      <c r="J127" s="343"/>
      <c r="K127" s="343"/>
      <c r="L127" s="343"/>
      <c r="M127" s="343">
        <f t="shared" si="60"/>
        <v>0</v>
      </c>
      <c r="N127" s="314">
        <f>SUM(N128:N129)</f>
        <v>50000</v>
      </c>
      <c r="O127" s="314">
        <f aca="true" t="shared" si="61" ref="O127:V127">O128</f>
        <v>0</v>
      </c>
      <c r="P127" s="314">
        <f t="shared" si="61"/>
        <v>0</v>
      </c>
      <c r="Q127" s="314">
        <f t="shared" si="61"/>
        <v>0</v>
      </c>
      <c r="R127" s="314">
        <f t="shared" si="61"/>
        <v>0</v>
      </c>
      <c r="S127" s="314">
        <f t="shared" si="61"/>
        <v>0</v>
      </c>
      <c r="T127" s="314">
        <f t="shared" si="61"/>
        <v>0</v>
      </c>
      <c r="U127" s="314">
        <f t="shared" si="61"/>
        <v>0</v>
      </c>
      <c r="V127" s="314">
        <f t="shared" si="61"/>
        <v>50000</v>
      </c>
      <c r="W127" s="314"/>
      <c r="X127" s="314"/>
      <c r="Y127" s="315">
        <f>SUM(N127:X127)</f>
        <v>100000</v>
      </c>
      <c r="Z127" s="314"/>
      <c r="AA127" s="316">
        <f>M127+Y127</f>
        <v>100000</v>
      </c>
      <c r="AB127" s="319"/>
      <c r="AC127" s="319"/>
      <c r="AD127" s="319"/>
      <c r="AE127" s="319"/>
    </row>
    <row r="128" spans="1:31" s="281" customFormat="1" ht="60" customHeight="1">
      <c r="A128" s="76"/>
      <c r="B128" s="76"/>
      <c r="C128" s="76"/>
      <c r="D128" s="76"/>
      <c r="E128" s="108" t="s">
        <v>583</v>
      </c>
      <c r="F128" s="102"/>
      <c r="G128" s="343"/>
      <c r="H128" s="343"/>
      <c r="I128" s="343"/>
      <c r="J128" s="343"/>
      <c r="K128" s="343"/>
      <c r="L128" s="343"/>
      <c r="M128" s="343">
        <f t="shared" si="60"/>
        <v>0</v>
      </c>
      <c r="N128" s="314">
        <v>50000</v>
      </c>
      <c r="O128" s="314"/>
      <c r="P128" s="314"/>
      <c r="Q128" s="314"/>
      <c r="R128" s="314"/>
      <c r="S128" s="314"/>
      <c r="T128" s="314"/>
      <c r="U128" s="314"/>
      <c r="V128" s="314">
        <v>50000</v>
      </c>
      <c r="W128" s="314"/>
      <c r="X128" s="314"/>
      <c r="Y128" s="315">
        <f>SUM(N128:X128)</f>
        <v>100000</v>
      </c>
      <c r="Z128" s="314"/>
      <c r="AA128" s="316">
        <f>M128+Y128</f>
        <v>100000</v>
      </c>
      <c r="AB128" s="319"/>
      <c r="AC128" s="319"/>
      <c r="AD128" s="319"/>
      <c r="AE128" s="319"/>
    </row>
    <row r="129" spans="1:31" s="281" customFormat="1" ht="43.5" customHeight="1" hidden="1">
      <c r="A129" s="76"/>
      <c r="B129" s="76"/>
      <c r="C129" s="76"/>
      <c r="D129" s="76"/>
      <c r="E129" s="108" t="s">
        <v>654</v>
      </c>
      <c r="F129" s="102"/>
      <c r="G129" s="343"/>
      <c r="H129" s="343"/>
      <c r="I129" s="343"/>
      <c r="J129" s="343"/>
      <c r="K129" s="343"/>
      <c r="L129" s="343"/>
      <c r="M129" s="343"/>
      <c r="N129" s="314"/>
      <c r="O129" s="314"/>
      <c r="P129" s="314"/>
      <c r="Q129" s="314"/>
      <c r="R129" s="314"/>
      <c r="S129" s="314"/>
      <c r="T129" s="314"/>
      <c r="U129" s="314"/>
      <c r="V129" s="314"/>
      <c r="W129" s="314"/>
      <c r="X129" s="314"/>
      <c r="Y129" s="315">
        <f>SUM(N129:X129)</f>
        <v>0</v>
      </c>
      <c r="Z129" s="314"/>
      <c r="AA129" s="316">
        <f>M129+Y129</f>
        <v>0</v>
      </c>
      <c r="AB129" s="319"/>
      <c r="AC129" s="319"/>
      <c r="AD129" s="319"/>
      <c r="AE129" s="319"/>
    </row>
    <row r="130" spans="1:31" s="281" customFormat="1" ht="50.25" customHeight="1" hidden="1">
      <c r="A130" s="76"/>
      <c r="B130" s="101" t="s">
        <v>168</v>
      </c>
      <c r="C130" s="101" t="s">
        <v>397</v>
      </c>
      <c r="D130" s="101" t="s">
        <v>270</v>
      </c>
      <c r="E130" s="116" t="s">
        <v>239</v>
      </c>
      <c r="F130" s="116"/>
      <c r="G130" s="343"/>
      <c r="H130" s="343"/>
      <c r="I130" s="343"/>
      <c r="J130" s="343"/>
      <c r="K130" s="343"/>
      <c r="L130" s="343"/>
      <c r="M130" s="343">
        <f t="shared" si="60"/>
        <v>0</v>
      </c>
      <c r="N130" s="314">
        <f>N131</f>
        <v>0</v>
      </c>
      <c r="O130" s="314">
        <f aca="true" t="shared" si="62" ref="O130:V130">O131</f>
        <v>0</v>
      </c>
      <c r="P130" s="314">
        <f t="shared" si="62"/>
        <v>0</v>
      </c>
      <c r="Q130" s="314">
        <f t="shared" si="62"/>
        <v>0</v>
      </c>
      <c r="R130" s="314">
        <f t="shared" si="62"/>
        <v>0</v>
      </c>
      <c r="S130" s="314">
        <f t="shared" si="62"/>
        <v>0</v>
      </c>
      <c r="T130" s="314">
        <f t="shared" si="62"/>
        <v>0</v>
      </c>
      <c r="U130" s="314">
        <f t="shared" si="62"/>
        <v>0</v>
      </c>
      <c r="V130" s="314">
        <f t="shared" si="62"/>
        <v>0</v>
      </c>
      <c r="W130" s="314"/>
      <c r="X130" s="314"/>
      <c r="Y130" s="315">
        <f aca="true" t="shared" si="63" ref="Y130:Y137">SUM(N130:X130)</f>
        <v>0</v>
      </c>
      <c r="Z130" s="314"/>
      <c r="AA130" s="316">
        <f aca="true" t="shared" si="64" ref="AA130:AA137">M130+Y130</f>
        <v>0</v>
      </c>
      <c r="AB130" s="319"/>
      <c r="AC130" s="319"/>
      <c r="AD130" s="319"/>
      <c r="AE130" s="319"/>
    </row>
    <row r="131" spans="1:31" s="281" customFormat="1" ht="63" customHeight="1" hidden="1">
      <c r="A131" s="140"/>
      <c r="B131" s="107"/>
      <c r="C131" s="107"/>
      <c r="D131" s="107"/>
      <c r="E131" s="1" t="s">
        <v>479</v>
      </c>
      <c r="F131" s="1"/>
      <c r="G131" s="343"/>
      <c r="H131" s="343"/>
      <c r="I131" s="343"/>
      <c r="J131" s="343"/>
      <c r="K131" s="343"/>
      <c r="L131" s="343"/>
      <c r="M131" s="343">
        <f t="shared" si="60"/>
        <v>0</v>
      </c>
      <c r="N131" s="314"/>
      <c r="O131" s="314"/>
      <c r="P131" s="314"/>
      <c r="Q131" s="314"/>
      <c r="R131" s="314"/>
      <c r="S131" s="314"/>
      <c r="T131" s="314"/>
      <c r="U131" s="314"/>
      <c r="V131" s="314"/>
      <c r="W131" s="314"/>
      <c r="X131" s="314"/>
      <c r="Y131" s="315">
        <f t="shared" si="63"/>
        <v>0</v>
      </c>
      <c r="Z131" s="314"/>
      <c r="AA131" s="316">
        <f t="shared" si="64"/>
        <v>0</v>
      </c>
      <c r="AB131" s="319"/>
      <c r="AC131" s="319"/>
      <c r="AD131" s="319"/>
      <c r="AE131" s="319"/>
    </row>
    <row r="132" spans="1:31" s="281" customFormat="1" ht="63" customHeight="1">
      <c r="A132" s="140"/>
      <c r="B132" s="101" t="s">
        <v>166</v>
      </c>
      <c r="C132" s="101" t="s">
        <v>401</v>
      </c>
      <c r="D132" s="101" t="s">
        <v>270</v>
      </c>
      <c r="E132" s="102" t="s">
        <v>167</v>
      </c>
      <c r="F132" s="1"/>
      <c r="G132" s="343"/>
      <c r="H132" s="343"/>
      <c r="I132" s="343"/>
      <c r="J132" s="343"/>
      <c r="K132" s="343"/>
      <c r="L132" s="343"/>
      <c r="M132" s="343">
        <f t="shared" si="60"/>
        <v>0</v>
      </c>
      <c r="N132" s="314">
        <f>N133</f>
        <v>10169</v>
      </c>
      <c r="O132" s="314">
        <f aca="true" t="shared" si="65" ref="O132:V132">O133</f>
        <v>0</v>
      </c>
      <c r="P132" s="314">
        <f t="shared" si="65"/>
        <v>0</v>
      </c>
      <c r="Q132" s="314">
        <f t="shared" si="65"/>
        <v>0</v>
      </c>
      <c r="R132" s="314">
        <f t="shared" si="65"/>
        <v>0</v>
      </c>
      <c r="S132" s="314">
        <f t="shared" si="65"/>
        <v>0</v>
      </c>
      <c r="T132" s="314">
        <f t="shared" si="65"/>
        <v>0</v>
      </c>
      <c r="U132" s="314">
        <f t="shared" si="65"/>
        <v>0</v>
      </c>
      <c r="V132" s="314">
        <f t="shared" si="65"/>
        <v>0</v>
      </c>
      <c r="W132" s="314"/>
      <c r="X132" s="314"/>
      <c r="Y132" s="315">
        <f>SUM(N132:X132)</f>
        <v>10169</v>
      </c>
      <c r="Z132" s="314"/>
      <c r="AA132" s="316">
        <f>M132+Y132</f>
        <v>10169</v>
      </c>
      <c r="AB132" s="319"/>
      <c r="AC132" s="319"/>
      <c r="AD132" s="319"/>
      <c r="AE132" s="319"/>
    </row>
    <row r="133" spans="1:31" s="281" customFormat="1" ht="63" customHeight="1">
      <c r="A133" s="140"/>
      <c r="B133" s="107"/>
      <c r="C133" s="107"/>
      <c r="D133" s="107"/>
      <c r="E133" s="108" t="s">
        <v>565</v>
      </c>
      <c r="F133" s="1"/>
      <c r="G133" s="343"/>
      <c r="H133" s="343"/>
      <c r="I133" s="343"/>
      <c r="J133" s="343"/>
      <c r="K133" s="343"/>
      <c r="L133" s="343"/>
      <c r="M133" s="343">
        <f t="shared" si="60"/>
        <v>0</v>
      </c>
      <c r="N133" s="314">
        <f>10000+169</f>
        <v>10169</v>
      </c>
      <c r="O133" s="314"/>
      <c r="P133" s="314"/>
      <c r="Q133" s="314"/>
      <c r="R133" s="314"/>
      <c r="S133" s="314"/>
      <c r="T133" s="314"/>
      <c r="U133" s="314"/>
      <c r="V133" s="314"/>
      <c r="W133" s="314"/>
      <c r="X133" s="314"/>
      <c r="Y133" s="315">
        <f>SUM(N133:X133)</f>
        <v>10169</v>
      </c>
      <c r="Z133" s="314"/>
      <c r="AA133" s="316">
        <f>M133+Y133</f>
        <v>10169</v>
      </c>
      <c r="AB133" s="284"/>
      <c r="AC133" s="319"/>
      <c r="AD133" s="319"/>
      <c r="AE133" s="319"/>
    </row>
    <row r="134" spans="1:31" s="281" customFormat="1" ht="42" customHeight="1" hidden="1">
      <c r="A134" s="140"/>
      <c r="B134" s="101" t="s">
        <v>599</v>
      </c>
      <c r="C134" s="101" t="s">
        <v>600</v>
      </c>
      <c r="D134" s="101" t="s">
        <v>602</v>
      </c>
      <c r="E134" s="116" t="s">
        <v>601</v>
      </c>
      <c r="F134" s="1"/>
      <c r="G134" s="343"/>
      <c r="H134" s="343"/>
      <c r="I134" s="343"/>
      <c r="J134" s="343"/>
      <c r="K134" s="343"/>
      <c r="L134" s="343"/>
      <c r="M134" s="343">
        <f t="shared" si="60"/>
        <v>0</v>
      </c>
      <c r="N134" s="314">
        <f>N135</f>
        <v>0</v>
      </c>
      <c r="O134" s="314">
        <f aca="true" t="shared" si="66" ref="O134:X134">O135</f>
        <v>0</v>
      </c>
      <c r="P134" s="314">
        <f t="shared" si="66"/>
        <v>0</v>
      </c>
      <c r="Q134" s="314">
        <f t="shared" si="66"/>
        <v>0</v>
      </c>
      <c r="R134" s="314">
        <f t="shared" si="66"/>
        <v>0</v>
      </c>
      <c r="S134" s="314">
        <f t="shared" si="66"/>
        <v>0</v>
      </c>
      <c r="T134" s="314">
        <f t="shared" si="66"/>
        <v>0</v>
      </c>
      <c r="U134" s="314">
        <f t="shared" si="66"/>
        <v>0</v>
      </c>
      <c r="V134" s="314">
        <f t="shared" si="66"/>
        <v>0</v>
      </c>
      <c r="W134" s="314">
        <f t="shared" si="66"/>
        <v>0</v>
      </c>
      <c r="X134" s="314">
        <f t="shared" si="66"/>
        <v>0</v>
      </c>
      <c r="Y134" s="315">
        <f t="shared" si="63"/>
        <v>0</v>
      </c>
      <c r="Z134" s="314"/>
      <c r="AA134" s="316">
        <f t="shared" si="64"/>
        <v>0</v>
      </c>
      <c r="AB134" s="319"/>
      <c r="AC134" s="319"/>
      <c r="AD134" s="319"/>
      <c r="AE134" s="319"/>
    </row>
    <row r="135" spans="1:31" s="281" customFormat="1" ht="63" customHeight="1" hidden="1">
      <c r="A135" s="140"/>
      <c r="B135" s="101"/>
      <c r="C135" s="101"/>
      <c r="D135" s="101"/>
      <c r="E135" s="1" t="s">
        <v>584</v>
      </c>
      <c r="F135" s="1"/>
      <c r="G135" s="343"/>
      <c r="H135" s="343"/>
      <c r="I135" s="343"/>
      <c r="J135" s="343"/>
      <c r="K135" s="343"/>
      <c r="L135" s="343"/>
      <c r="M135" s="343">
        <f t="shared" si="60"/>
        <v>0</v>
      </c>
      <c r="N135" s="314"/>
      <c r="O135" s="314"/>
      <c r="P135" s="314"/>
      <c r="Q135" s="314"/>
      <c r="R135" s="314"/>
      <c r="S135" s="314"/>
      <c r="T135" s="314"/>
      <c r="U135" s="314"/>
      <c r="V135" s="314"/>
      <c r="W135" s="314"/>
      <c r="X135" s="314"/>
      <c r="Y135" s="315">
        <f t="shared" si="63"/>
        <v>0</v>
      </c>
      <c r="Z135" s="314"/>
      <c r="AA135" s="316">
        <f t="shared" si="64"/>
        <v>0</v>
      </c>
      <c r="AB135" s="319"/>
      <c r="AC135" s="319"/>
      <c r="AD135" s="319"/>
      <c r="AE135" s="319"/>
    </row>
    <row r="136" spans="1:31" s="281" customFormat="1" ht="135" customHeight="1" hidden="1">
      <c r="A136" s="76"/>
      <c r="B136" s="76" t="s">
        <v>211</v>
      </c>
      <c r="C136" s="76" t="s">
        <v>212</v>
      </c>
      <c r="D136" s="76" t="s">
        <v>268</v>
      </c>
      <c r="E136" s="102" t="s">
        <v>210</v>
      </c>
      <c r="F136" s="327">
        <f>F137</f>
        <v>0</v>
      </c>
      <c r="G136" s="343"/>
      <c r="H136" s="343"/>
      <c r="I136" s="343"/>
      <c r="J136" s="343"/>
      <c r="K136" s="343"/>
      <c r="L136" s="343"/>
      <c r="M136" s="343">
        <f>SUM(F136:L136)</f>
        <v>0</v>
      </c>
      <c r="N136" s="314"/>
      <c r="O136" s="314"/>
      <c r="P136" s="314"/>
      <c r="Q136" s="314"/>
      <c r="R136" s="314"/>
      <c r="S136" s="314"/>
      <c r="T136" s="314"/>
      <c r="U136" s="314"/>
      <c r="V136" s="314"/>
      <c r="W136" s="314"/>
      <c r="X136" s="314"/>
      <c r="Y136" s="315">
        <f t="shared" si="63"/>
        <v>0</v>
      </c>
      <c r="Z136" s="314"/>
      <c r="AA136" s="316">
        <f t="shared" si="64"/>
        <v>0</v>
      </c>
      <c r="AB136" s="319"/>
      <c r="AC136" s="319"/>
      <c r="AD136" s="319"/>
      <c r="AE136" s="319"/>
    </row>
    <row r="137" spans="1:31" s="281" customFormat="1" ht="59.25" customHeight="1" hidden="1">
      <c r="A137" s="76"/>
      <c r="B137" s="76"/>
      <c r="C137" s="76"/>
      <c r="D137" s="76"/>
      <c r="E137" s="108" t="s">
        <v>398</v>
      </c>
      <c r="F137" s="327"/>
      <c r="G137" s="343"/>
      <c r="H137" s="343"/>
      <c r="I137" s="343"/>
      <c r="J137" s="343"/>
      <c r="K137" s="343"/>
      <c r="L137" s="343"/>
      <c r="M137" s="343">
        <f>SUM(F137:L137)</f>
        <v>0</v>
      </c>
      <c r="N137" s="314"/>
      <c r="O137" s="314"/>
      <c r="P137" s="314"/>
      <c r="Q137" s="314"/>
      <c r="R137" s="314"/>
      <c r="S137" s="314"/>
      <c r="T137" s="314"/>
      <c r="U137" s="314"/>
      <c r="V137" s="314"/>
      <c r="W137" s="314"/>
      <c r="X137" s="314"/>
      <c r="Y137" s="315">
        <f t="shared" si="63"/>
        <v>0</v>
      </c>
      <c r="Z137" s="314"/>
      <c r="AA137" s="316">
        <f t="shared" si="64"/>
        <v>0</v>
      </c>
      <c r="AB137" s="319"/>
      <c r="AC137" s="319"/>
      <c r="AD137" s="319"/>
      <c r="AE137" s="319"/>
    </row>
    <row r="138" spans="1:31" s="281" customFormat="1" ht="26.25" customHeight="1">
      <c r="A138" s="136"/>
      <c r="B138" s="77"/>
      <c r="C138" s="77"/>
      <c r="D138" s="77"/>
      <c r="E138" s="134" t="s">
        <v>359</v>
      </c>
      <c r="F138" s="346">
        <f>F114+F116+F118+F120+F121+F122+F126+F130+F136</f>
        <v>0</v>
      </c>
      <c r="G138" s="346">
        <f>G114+G116+G118+G120+G121+G122+G126+G130+G136</f>
        <v>0</v>
      </c>
      <c r="H138" s="346">
        <f aca="true" t="shared" si="67" ref="H138:M138">H114+H116+H118+H120+H121+H122+H126+H130+H136</f>
        <v>0</v>
      </c>
      <c r="I138" s="346">
        <f t="shared" si="67"/>
        <v>0</v>
      </c>
      <c r="J138" s="346">
        <f t="shared" si="67"/>
        <v>0</v>
      </c>
      <c r="K138" s="346">
        <f t="shared" si="67"/>
        <v>0</v>
      </c>
      <c r="L138" s="346">
        <f t="shared" si="67"/>
        <v>0</v>
      </c>
      <c r="M138" s="346">
        <f t="shared" si="67"/>
        <v>0</v>
      </c>
      <c r="N138" s="321">
        <f>N114+N116+N118+N120+N121+N122+N126+N130+N136+N134+N127+N132</f>
        <v>192769</v>
      </c>
      <c r="O138" s="321">
        <f aca="true" t="shared" si="68" ref="O138:X138">O114+O116+O118+O120+O121+O122+O126+O130+O136+O134+O127+O132</f>
        <v>0</v>
      </c>
      <c r="P138" s="321">
        <f t="shared" si="68"/>
        <v>0</v>
      </c>
      <c r="Q138" s="321">
        <f t="shared" si="68"/>
        <v>0</v>
      </c>
      <c r="R138" s="321">
        <f t="shared" si="68"/>
        <v>0</v>
      </c>
      <c r="S138" s="321">
        <f t="shared" si="68"/>
        <v>0</v>
      </c>
      <c r="T138" s="321">
        <f t="shared" si="68"/>
        <v>0</v>
      </c>
      <c r="U138" s="321">
        <f t="shared" si="68"/>
        <v>0</v>
      </c>
      <c r="V138" s="321">
        <f t="shared" si="68"/>
        <v>50000</v>
      </c>
      <c r="W138" s="321">
        <f t="shared" si="68"/>
        <v>0</v>
      </c>
      <c r="X138" s="321">
        <f t="shared" si="68"/>
        <v>0</v>
      </c>
      <c r="Y138" s="315">
        <f>SUM(N138:X138)</f>
        <v>242769</v>
      </c>
      <c r="Z138" s="314"/>
      <c r="AA138" s="316">
        <f>M138+Y138</f>
        <v>242769</v>
      </c>
      <c r="AB138" s="284"/>
      <c r="AC138" s="284"/>
      <c r="AD138" s="284"/>
      <c r="AE138" s="284"/>
    </row>
    <row r="139" spans="1:31" s="281" customFormat="1" ht="49.5" customHeight="1">
      <c r="A139" s="76"/>
      <c r="B139" s="77" t="s">
        <v>68</v>
      </c>
      <c r="C139" s="101"/>
      <c r="D139" s="101"/>
      <c r="E139" s="78" t="s">
        <v>543</v>
      </c>
      <c r="F139" s="78"/>
      <c r="G139" s="343"/>
      <c r="H139" s="343"/>
      <c r="I139" s="343"/>
      <c r="J139" s="343"/>
      <c r="K139" s="343"/>
      <c r="L139" s="343"/>
      <c r="M139" s="343"/>
      <c r="N139" s="314"/>
      <c r="O139" s="314"/>
      <c r="P139" s="314"/>
      <c r="Q139" s="314"/>
      <c r="R139" s="314"/>
      <c r="S139" s="314"/>
      <c r="T139" s="314"/>
      <c r="U139" s="314"/>
      <c r="V139" s="314"/>
      <c r="W139" s="314"/>
      <c r="X139" s="318"/>
      <c r="Y139" s="315"/>
      <c r="Z139" s="315"/>
      <c r="AA139" s="316"/>
      <c r="AB139" s="284"/>
      <c r="AC139" s="284"/>
      <c r="AD139" s="284"/>
      <c r="AE139" s="284"/>
    </row>
    <row r="140" spans="1:31" s="281" customFormat="1" ht="48" customHeight="1">
      <c r="A140" s="76"/>
      <c r="B140" s="93" t="s">
        <v>69</v>
      </c>
      <c r="C140" s="101"/>
      <c r="D140" s="101"/>
      <c r="E140" s="78" t="s">
        <v>542</v>
      </c>
      <c r="F140" s="78"/>
      <c r="G140" s="343"/>
      <c r="H140" s="343"/>
      <c r="I140" s="343"/>
      <c r="J140" s="343"/>
      <c r="K140" s="343"/>
      <c r="L140" s="343"/>
      <c r="M140" s="343"/>
      <c r="N140" s="314"/>
      <c r="O140" s="314"/>
      <c r="P140" s="314"/>
      <c r="Q140" s="314"/>
      <c r="R140" s="314"/>
      <c r="S140" s="314"/>
      <c r="T140" s="314"/>
      <c r="U140" s="314"/>
      <c r="V140" s="314"/>
      <c r="W140" s="314"/>
      <c r="X140" s="318"/>
      <c r="Y140" s="315"/>
      <c r="Z140" s="315"/>
      <c r="AA140" s="316"/>
      <c r="AB140" s="284"/>
      <c r="AC140" s="284"/>
      <c r="AD140" s="284"/>
      <c r="AE140" s="284"/>
    </row>
    <row r="141" spans="1:31" s="281" customFormat="1" ht="54" hidden="1">
      <c r="A141" s="76" t="s">
        <v>260</v>
      </c>
      <c r="B141" s="101" t="s">
        <v>476</v>
      </c>
      <c r="C141" s="101" t="s">
        <v>317</v>
      </c>
      <c r="D141" s="101" t="s">
        <v>261</v>
      </c>
      <c r="E141" s="116" t="s">
        <v>70</v>
      </c>
      <c r="F141" s="116"/>
      <c r="G141" s="343"/>
      <c r="H141" s="343"/>
      <c r="I141" s="343"/>
      <c r="J141" s="343"/>
      <c r="K141" s="343"/>
      <c r="L141" s="343"/>
      <c r="M141" s="343">
        <f aca="true" t="shared" si="69" ref="M141:M166">SUM(G141:L141)</f>
        <v>0</v>
      </c>
      <c r="N141" s="314">
        <f>N142</f>
        <v>0</v>
      </c>
      <c r="O141" s="314">
        <f aca="true" t="shared" si="70" ref="O141:X141">O142</f>
        <v>0</v>
      </c>
      <c r="P141" s="314">
        <f t="shared" si="70"/>
        <v>0</v>
      </c>
      <c r="Q141" s="314">
        <f t="shared" si="70"/>
        <v>0</v>
      </c>
      <c r="R141" s="314">
        <f t="shared" si="70"/>
        <v>0</v>
      </c>
      <c r="S141" s="314">
        <f t="shared" si="70"/>
        <v>0</v>
      </c>
      <c r="T141" s="314">
        <f t="shared" si="70"/>
        <v>0</v>
      </c>
      <c r="U141" s="314">
        <f t="shared" si="70"/>
        <v>0</v>
      </c>
      <c r="V141" s="314">
        <f t="shared" si="70"/>
        <v>0</v>
      </c>
      <c r="W141" s="314">
        <f t="shared" si="70"/>
        <v>0</v>
      </c>
      <c r="X141" s="314">
        <f t="shared" si="70"/>
        <v>0</v>
      </c>
      <c r="Y141" s="315">
        <f>SUM(N141:X141)</f>
        <v>0</v>
      </c>
      <c r="Z141" s="314"/>
      <c r="AA141" s="316">
        <f>M141+Y141</f>
        <v>0</v>
      </c>
      <c r="AB141" s="284"/>
      <c r="AC141" s="284"/>
      <c r="AD141" s="284"/>
      <c r="AE141" s="284"/>
    </row>
    <row r="142" spans="1:31" s="281" customFormat="1" ht="59.25" customHeight="1" hidden="1">
      <c r="A142" s="76"/>
      <c r="B142" s="101"/>
      <c r="C142" s="101"/>
      <c r="D142" s="101"/>
      <c r="E142" s="1" t="s">
        <v>72</v>
      </c>
      <c r="F142" s="116"/>
      <c r="G142" s="343"/>
      <c r="H142" s="343"/>
      <c r="I142" s="343"/>
      <c r="J142" s="343"/>
      <c r="K142" s="343"/>
      <c r="L142" s="343"/>
      <c r="M142" s="343"/>
      <c r="N142" s="314"/>
      <c r="O142" s="314"/>
      <c r="P142" s="314"/>
      <c r="Q142" s="314"/>
      <c r="R142" s="314"/>
      <c r="S142" s="314"/>
      <c r="T142" s="314"/>
      <c r="U142" s="314"/>
      <c r="V142" s="314"/>
      <c r="W142" s="314"/>
      <c r="X142" s="314"/>
      <c r="Y142" s="315">
        <f>SUM(N142:X142)</f>
        <v>0</v>
      </c>
      <c r="Z142" s="314">
        <f>Z143</f>
        <v>0</v>
      </c>
      <c r="AA142" s="316">
        <f>M142+Y142</f>
        <v>0</v>
      </c>
      <c r="AB142" s="284"/>
      <c r="AC142" s="284"/>
      <c r="AD142" s="284"/>
      <c r="AE142" s="284"/>
    </row>
    <row r="143" spans="1:31" s="281" customFormat="1" ht="23.25" customHeight="1" hidden="1">
      <c r="A143" s="76" t="s">
        <v>276</v>
      </c>
      <c r="B143" s="101" t="s">
        <v>71</v>
      </c>
      <c r="C143" s="101" t="s">
        <v>318</v>
      </c>
      <c r="D143" s="101" t="s">
        <v>285</v>
      </c>
      <c r="E143" s="116" t="s">
        <v>73</v>
      </c>
      <c r="F143" s="116"/>
      <c r="G143" s="343">
        <f aca="true" t="shared" si="71" ref="G143:L143">G144</f>
        <v>0</v>
      </c>
      <c r="H143" s="343">
        <f t="shared" si="71"/>
        <v>0</v>
      </c>
      <c r="I143" s="343">
        <f t="shared" si="71"/>
        <v>0</v>
      </c>
      <c r="J143" s="343">
        <f t="shared" si="71"/>
        <v>0</v>
      </c>
      <c r="K143" s="343">
        <f t="shared" si="71"/>
        <v>0</v>
      </c>
      <c r="L143" s="343">
        <f t="shared" si="71"/>
        <v>0</v>
      </c>
      <c r="M143" s="343">
        <f t="shared" si="69"/>
        <v>0</v>
      </c>
      <c r="N143" s="314">
        <f aca="true" t="shared" si="72" ref="N143:T143">N144</f>
        <v>0</v>
      </c>
      <c r="O143" s="314">
        <f t="shared" si="72"/>
        <v>0</v>
      </c>
      <c r="P143" s="314">
        <f t="shared" si="72"/>
        <v>0</v>
      </c>
      <c r="Q143" s="314">
        <f t="shared" si="72"/>
        <v>0</v>
      </c>
      <c r="R143" s="314">
        <f>R144+R145</f>
        <v>0</v>
      </c>
      <c r="S143" s="314">
        <f t="shared" si="72"/>
        <v>0</v>
      </c>
      <c r="T143" s="314">
        <f t="shared" si="72"/>
        <v>0</v>
      </c>
      <c r="U143" s="314"/>
      <c r="V143" s="314">
        <f>V144</f>
        <v>0</v>
      </c>
      <c r="W143" s="314">
        <f>W144</f>
        <v>0</v>
      </c>
      <c r="X143" s="314">
        <f>X144</f>
        <v>0</v>
      </c>
      <c r="Y143" s="315">
        <f aca="true" t="shared" si="73" ref="Y143:Y163">SUM(N143:X143)</f>
        <v>0</v>
      </c>
      <c r="Z143" s="314">
        <f>Z144</f>
        <v>0</v>
      </c>
      <c r="AA143" s="316">
        <f aca="true" t="shared" si="74" ref="AA143:AA163">M143+Y143</f>
        <v>0</v>
      </c>
      <c r="AB143" s="284"/>
      <c r="AC143" s="284"/>
      <c r="AD143" s="284"/>
      <c r="AE143" s="284"/>
    </row>
    <row r="144" spans="1:31" s="281" customFormat="1" ht="79.5" customHeight="1" hidden="1">
      <c r="A144" s="76"/>
      <c r="B144" s="101"/>
      <c r="C144" s="101"/>
      <c r="D144" s="101"/>
      <c r="E144" s="1" t="s">
        <v>230</v>
      </c>
      <c r="F144" s="1"/>
      <c r="G144" s="343"/>
      <c r="H144" s="343"/>
      <c r="I144" s="343"/>
      <c r="J144" s="343"/>
      <c r="K144" s="343"/>
      <c r="L144" s="343"/>
      <c r="M144" s="343">
        <f t="shared" si="69"/>
        <v>0</v>
      </c>
      <c r="N144" s="314"/>
      <c r="O144" s="314"/>
      <c r="P144" s="314"/>
      <c r="Q144" s="314"/>
      <c r="R144" s="314"/>
      <c r="S144" s="314"/>
      <c r="T144" s="314"/>
      <c r="U144" s="314"/>
      <c r="V144" s="314"/>
      <c r="W144" s="314"/>
      <c r="X144" s="314"/>
      <c r="Y144" s="315">
        <f t="shared" si="73"/>
        <v>0</v>
      </c>
      <c r="Z144" s="314"/>
      <c r="AA144" s="316">
        <f t="shared" si="74"/>
        <v>0</v>
      </c>
      <c r="AB144" s="284"/>
      <c r="AC144" s="284"/>
      <c r="AD144" s="284"/>
      <c r="AE144" s="284"/>
    </row>
    <row r="145" spans="1:31" s="281" customFormat="1" ht="162" customHeight="1" hidden="1">
      <c r="A145" s="76"/>
      <c r="B145" s="101"/>
      <c r="C145" s="101"/>
      <c r="D145" s="101"/>
      <c r="E145" s="1" t="s">
        <v>608</v>
      </c>
      <c r="F145" s="1"/>
      <c r="G145" s="343"/>
      <c r="H145" s="343"/>
      <c r="I145" s="343"/>
      <c r="J145" s="343"/>
      <c r="K145" s="343"/>
      <c r="L145" s="343"/>
      <c r="M145" s="343"/>
      <c r="N145" s="314"/>
      <c r="O145" s="314"/>
      <c r="P145" s="314"/>
      <c r="Q145" s="314"/>
      <c r="R145" s="314"/>
      <c r="S145" s="314"/>
      <c r="T145" s="314"/>
      <c r="U145" s="314"/>
      <c r="V145" s="314"/>
      <c r="W145" s="314"/>
      <c r="X145" s="314"/>
      <c r="Y145" s="315">
        <f>SUM(N145:X145)</f>
        <v>0</v>
      </c>
      <c r="Z145" s="314"/>
      <c r="AA145" s="316">
        <f>M145+Y145</f>
        <v>0</v>
      </c>
      <c r="AB145" s="284"/>
      <c r="AC145" s="284"/>
      <c r="AD145" s="284"/>
      <c r="AE145" s="284"/>
    </row>
    <row r="146" spans="1:31" s="281" customFormat="1" ht="57" customHeight="1" hidden="1">
      <c r="A146" s="76" t="s">
        <v>277</v>
      </c>
      <c r="B146" s="101" t="s">
        <v>185</v>
      </c>
      <c r="C146" s="101" t="s">
        <v>266</v>
      </c>
      <c r="D146" s="101" t="s">
        <v>286</v>
      </c>
      <c r="E146" s="102" t="s">
        <v>627</v>
      </c>
      <c r="F146" s="102"/>
      <c r="G146" s="343">
        <f>G147</f>
        <v>0</v>
      </c>
      <c r="H146" s="343">
        <f aca="true" t="shared" si="75" ref="H146:Z146">H147</f>
        <v>0</v>
      </c>
      <c r="I146" s="343">
        <f t="shared" si="75"/>
        <v>0</v>
      </c>
      <c r="J146" s="343">
        <f t="shared" si="75"/>
        <v>0</v>
      </c>
      <c r="K146" s="343">
        <f t="shared" si="75"/>
        <v>0</v>
      </c>
      <c r="L146" s="343">
        <f t="shared" si="75"/>
        <v>0</v>
      </c>
      <c r="M146" s="343">
        <f t="shared" si="69"/>
        <v>0</v>
      </c>
      <c r="N146" s="314">
        <f t="shared" si="75"/>
        <v>0</v>
      </c>
      <c r="O146" s="314">
        <f t="shared" si="75"/>
        <v>0</v>
      </c>
      <c r="P146" s="314">
        <f t="shared" si="75"/>
        <v>0</v>
      </c>
      <c r="Q146" s="314">
        <f t="shared" si="75"/>
        <v>0</v>
      </c>
      <c r="R146" s="314">
        <f t="shared" si="75"/>
        <v>0</v>
      </c>
      <c r="S146" s="314">
        <f t="shared" si="75"/>
        <v>0</v>
      </c>
      <c r="T146" s="314">
        <f t="shared" si="75"/>
        <v>0</v>
      </c>
      <c r="U146" s="314"/>
      <c r="V146" s="314">
        <f t="shared" si="75"/>
        <v>0</v>
      </c>
      <c r="W146" s="314">
        <f t="shared" si="75"/>
        <v>0</v>
      </c>
      <c r="X146" s="314">
        <f t="shared" si="75"/>
        <v>0</v>
      </c>
      <c r="Y146" s="315">
        <f t="shared" si="73"/>
        <v>0</v>
      </c>
      <c r="Z146" s="314">
        <f t="shared" si="75"/>
        <v>0</v>
      </c>
      <c r="AA146" s="316">
        <f t="shared" si="74"/>
        <v>0</v>
      </c>
      <c r="AB146" s="284"/>
      <c r="AC146" s="284"/>
      <c r="AD146" s="284"/>
      <c r="AE146" s="284"/>
    </row>
    <row r="147" spans="1:31" s="281" customFormat="1" ht="77.25" customHeight="1" hidden="1">
      <c r="A147" s="140"/>
      <c r="B147" s="107"/>
      <c r="C147" s="107"/>
      <c r="D147" s="107"/>
      <c r="E147" s="1" t="s">
        <v>231</v>
      </c>
      <c r="F147" s="1"/>
      <c r="G147" s="343"/>
      <c r="H147" s="343"/>
      <c r="I147" s="343"/>
      <c r="J147" s="343"/>
      <c r="K147" s="343"/>
      <c r="L147" s="343"/>
      <c r="M147" s="343">
        <f t="shared" si="69"/>
        <v>0</v>
      </c>
      <c r="N147" s="314"/>
      <c r="O147" s="314"/>
      <c r="P147" s="314"/>
      <c r="Q147" s="314"/>
      <c r="R147" s="314"/>
      <c r="S147" s="314"/>
      <c r="T147" s="314"/>
      <c r="U147" s="314"/>
      <c r="V147" s="314"/>
      <c r="W147" s="314"/>
      <c r="X147" s="314"/>
      <c r="Y147" s="315">
        <f t="shared" si="73"/>
        <v>0</v>
      </c>
      <c r="Z147" s="314"/>
      <c r="AA147" s="316">
        <f t="shared" si="74"/>
        <v>0</v>
      </c>
      <c r="AB147" s="348"/>
      <c r="AC147" s="348"/>
      <c r="AD147" s="348"/>
      <c r="AE147" s="348"/>
    </row>
    <row r="148" spans="1:31" s="281" customFormat="1" ht="34.5" customHeight="1" hidden="1">
      <c r="A148" s="140"/>
      <c r="B148" s="101" t="s">
        <v>586</v>
      </c>
      <c r="C148" s="76" t="s">
        <v>425</v>
      </c>
      <c r="D148" s="76" t="s">
        <v>426</v>
      </c>
      <c r="E148" s="178" t="s">
        <v>573</v>
      </c>
      <c r="F148" s="1"/>
      <c r="G148" s="343"/>
      <c r="H148" s="343"/>
      <c r="I148" s="343"/>
      <c r="J148" s="343"/>
      <c r="K148" s="343"/>
      <c r="L148" s="343"/>
      <c r="M148" s="343"/>
      <c r="N148" s="314"/>
      <c r="O148" s="314"/>
      <c r="P148" s="314"/>
      <c r="Q148" s="314"/>
      <c r="R148" s="314">
        <f>R149</f>
        <v>0</v>
      </c>
      <c r="S148" s="314"/>
      <c r="T148" s="314"/>
      <c r="U148" s="314"/>
      <c r="V148" s="314"/>
      <c r="W148" s="314"/>
      <c r="X148" s="314"/>
      <c r="Y148" s="315">
        <f>SUM(N148:X148)</f>
        <v>0</v>
      </c>
      <c r="Z148" s="314"/>
      <c r="AA148" s="316">
        <f>M148+Y148</f>
        <v>0</v>
      </c>
      <c r="AB148" s="348"/>
      <c r="AC148" s="348"/>
      <c r="AD148" s="348"/>
      <c r="AE148" s="348"/>
    </row>
    <row r="149" spans="1:31" s="281" customFormat="1" ht="78" customHeight="1" hidden="1">
      <c r="A149" s="140"/>
      <c r="B149" s="101"/>
      <c r="C149" s="76"/>
      <c r="D149" s="76"/>
      <c r="E149" s="221" t="s">
        <v>587</v>
      </c>
      <c r="F149" s="1"/>
      <c r="G149" s="343"/>
      <c r="H149" s="343"/>
      <c r="I149" s="343"/>
      <c r="J149" s="343"/>
      <c r="K149" s="343"/>
      <c r="L149" s="343"/>
      <c r="M149" s="343"/>
      <c r="N149" s="314"/>
      <c r="O149" s="314"/>
      <c r="P149" s="314"/>
      <c r="Q149" s="314"/>
      <c r="R149" s="314"/>
      <c r="S149" s="314"/>
      <c r="T149" s="314"/>
      <c r="U149" s="314"/>
      <c r="V149" s="314"/>
      <c r="W149" s="314"/>
      <c r="X149" s="314"/>
      <c r="Y149" s="315">
        <f>SUM(N149:X149)</f>
        <v>0</v>
      </c>
      <c r="Z149" s="314"/>
      <c r="AA149" s="316">
        <f>M149+Y149</f>
        <v>0</v>
      </c>
      <c r="AB149" s="348"/>
      <c r="AC149" s="348"/>
      <c r="AD149" s="348"/>
      <c r="AE149" s="348"/>
    </row>
    <row r="150" spans="1:31" s="281" customFormat="1" ht="30" customHeight="1" hidden="1">
      <c r="A150" s="76"/>
      <c r="B150" s="101" t="s">
        <v>88</v>
      </c>
      <c r="C150" s="101" t="s">
        <v>74</v>
      </c>
      <c r="D150" s="101" t="s">
        <v>597</v>
      </c>
      <c r="E150" s="116" t="s">
        <v>81</v>
      </c>
      <c r="F150" s="116"/>
      <c r="G150" s="343"/>
      <c r="H150" s="343"/>
      <c r="I150" s="343"/>
      <c r="J150" s="343"/>
      <c r="K150" s="343"/>
      <c r="L150" s="343"/>
      <c r="M150" s="343">
        <f t="shared" si="69"/>
        <v>0</v>
      </c>
      <c r="N150" s="314">
        <f aca="true" t="shared" si="76" ref="N150:X150">SUM(N151:N154)</f>
        <v>0</v>
      </c>
      <c r="O150" s="314">
        <f t="shared" si="76"/>
        <v>0</v>
      </c>
      <c r="P150" s="314">
        <f t="shared" si="76"/>
        <v>0</v>
      </c>
      <c r="Q150" s="314">
        <f t="shared" si="76"/>
        <v>0</v>
      </c>
      <c r="R150" s="314">
        <f t="shared" si="76"/>
        <v>0</v>
      </c>
      <c r="S150" s="314">
        <f t="shared" si="76"/>
        <v>0</v>
      </c>
      <c r="T150" s="314">
        <f t="shared" si="76"/>
        <v>0</v>
      </c>
      <c r="U150" s="314">
        <f t="shared" si="76"/>
        <v>0</v>
      </c>
      <c r="V150" s="314">
        <f t="shared" si="76"/>
        <v>0</v>
      </c>
      <c r="W150" s="314">
        <f t="shared" si="76"/>
        <v>0</v>
      </c>
      <c r="X150" s="314">
        <f t="shared" si="76"/>
        <v>0</v>
      </c>
      <c r="Y150" s="315">
        <f t="shared" si="73"/>
        <v>0</v>
      </c>
      <c r="Z150" s="314">
        <f>SUM(Z163:Z163)</f>
        <v>0</v>
      </c>
      <c r="AA150" s="316">
        <f t="shared" si="74"/>
        <v>0</v>
      </c>
      <c r="AB150" s="284"/>
      <c r="AC150" s="284"/>
      <c r="AD150" s="284"/>
      <c r="AE150" s="284"/>
    </row>
    <row r="151" spans="1:31" s="281" customFormat="1" ht="54" hidden="1">
      <c r="A151" s="76"/>
      <c r="B151" s="107"/>
      <c r="C151" s="107"/>
      <c r="D151" s="107"/>
      <c r="E151" s="221" t="s">
        <v>403</v>
      </c>
      <c r="F151" s="221"/>
      <c r="G151" s="343"/>
      <c r="H151" s="343"/>
      <c r="I151" s="343"/>
      <c r="J151" s="343"/>
      <c r="K151" s="343"/>
      <c r="L151" s="343"/>
      <c r="M151" s="343">
        <f t="shared" si="69"/>
        <v>0</v>
      </c>
      <c r="N151" s="314"/>
      <c r="O151" s="314"/>
      <c r="P151" s="314"/>
      <c r="Q151" s="314"/>
      <c r="R151" s="314"/>
      <c r="S151" s="314"/>
      <c r="T151" s="314"/>
      <c r="U151" s="314"/>
      <c r="V151" s="314"/>
      <c r="W151" s="314"/>
      <c r="X151" s="314"/>
      <c r="Y151" s="315">
        <f t="shared" si="73"/>
        <v>0</v>
      </c>
      <c r="Z151" s="314" t="e">
        <f>SUM(#REF!)</f>
        <v>#REF!</v>
      </c>
      <c r="AA151" s="316">
        <f t="shared" si="74"/>
        <v>0</v>
      </c>
      <c r="AB151" s="348"/>
      <c r="AC151" s="348"/>
      <c r="AD151" s="348"/>
      <c r="AE151" s="348"/>
    </row>
    <row r="152" spans="1:31" s="281" customFormat="1" ht="80.25" customHeight="1" hidden="1">
      <c r="A152" s="76"/>
      <c r="B152" s="107"/>
      <c r="C152" s="107"/>
      <c r="D152" s="107"/>
      <c r="E152" s="221" t="s">
        <v>440</v>
      </c>
      <c r="F152" s="221"/>
      <c r="G152" s="343"/>
      <c r="H152" s="343"/>
      <c r="I152" s="343"/>
      <c r="J152" s="343"/>
      <c r="K152" s="343"/>
      <c r="L152" s="343"/>
      <c r="M152" s="343">
        <f t="shared" si="69"/>
        <v>0</v>
      </c>
      <c r="N152" s="314"/>
      <c r="O152" s="314"/>
      <c r="P152" s="314"/>
      <c r="Q152" s="314"/>
      <c r="R152" s="314"/>
      <c r="S152" s="314"/>
      <c r="T152" s="314"/>
      <c r="U152" s="314"/>
      <c r="V152" s="314"/>
      <c r="W152" s="314"/>
      <c r="X152" s="314"/>
      <c r="Y152" s="315">
        <f>SUM(N152:X152)</f>
        <v>0</v>
      </c>
      <c r="Z152" s="314" t="e">
        <f>SUM(#REF!)</f>
        <v>#REF!</v>
      </c>
      <c r="AA152" s="316">
        <f>M152+Y152</f>
        <v>0</v>
      </c>
      <c r="AB152" s="284"/>
      <c r="AC152" s="284"/>
      <c r="AD152" s="284"/>
      <c r="AE152" s="284"/>
    </row>
    <row r="153" spans="1:31" s="281" customFormat="1" ht="63.75" customHeight="1" hidden="1">
      <c r="A153" s="76"/>
      <c r="B153" s="107"/>
      <c r="C153" s="107"/>
      <c r="D153" s="107"/>
      <c r="E153" s="221" t="s">
        <v>486</v>
      </c>
      <c r="F153" s="221"/>
      <c r="G153" s="343"/>
      <c r="H153" s="343"/>
      <c r="I153" s="343"/>
      <c r="J153" s="343"/>
      <c r="K153" s="343"/>
      <c r="L153" s="343"/>
      <c r="M153" s="343">
        <f t="shared" si="69"/>
        <v>0</v>
      </c>
      <c r="N153" s="314"/>
      <c r="O153" s="314"/>
      <c r="P153" s="314"/>
      <c r="Q153" s="314"/>
      <c r="R153" s="314"/>
      <c r="S153" s="314"/>
      <c r="T153" s="314"/>
      <c r="U153" s="314"/>
      <c r="V153" s="314"/>
      <c r="W153" s="314"/>
      <c r="X153" s="314"/>
      <c r="Y153" s="315">
        <f>SUM(N153:X153)</f>
        <v>0</v>
      </c>
      <c r="Z153" s="314" t="e">
        <f>SUM(#REF!)</f>
        <v>#REF!</v>
      </c>
      <c r="AA153" s="316">
        <f>M153+Y153</f>
        <v>0</v>
      </c>
      <c r="AB153" s="284"/>
      <c r="AC153" s="284"/>
      <c r="AD153" s="284"/>
      <c r="AE153" s="284"/>
    </row>
    <row r="154" spans="1:31" s="281" customFormat="1" ht="48" customHeight="1" hidden="1">
      <c r="A154" s="76"/>
      <c r="B154" s="107"/>
      <c r="C154" s="107"/>
      <c r="D154" s="107"/>
      <c r="E154" s="221" t="s">
        <v>576</v>
      </c>
      <c r="F154" s="221"/>
      <c r="G154" s="343"/>
      <c r="H154" s="343"/>
      <c r="I154" s="343"/>
      <c r="J154" s="343"/>
      <c r="K154" s="343"/>
      <c r="L154" s="343"/>
      <c r="M154" s="343">
        <f t="shared" si="69"/>
        <v>0</v>
      </c>
      <c r="N154" s="314"/>
      <c r="O154" s="314"/>
      <c r="P154" s="314"/>
      <c r="Q154" s="314"/>
      <c r="R154" s="314"/>
      <c r="S154" s="314"/>
      <c r="T154" s="314"/>
      <c r="U154" s="314"/>
      <c r="V154" s="314"/>
      <c r="W154" s="314"/>
      <c r="X154" s="314"/>
      <c r="Y154" s="315">
        <f t="shared" si="73"/>
        <v>0</v>
      </c>
      <c r="Z154" s="314" t="e">
        <f>SUM(#REF!)</f>
        <v>#REF!</v>
      </c>
      <c r="AA154" s="316">
        <f t="shared" si="74"/>
        <v>0</v>
      </c>
      <c r="AB154" s="348"/>
      <c r="AC154" s="348"/>
      <c r="AD154" s="348"/>
      <c r="AE154" s="348"/>
    </row>
    <row r="155" spans="1:31" s="281" customFormat="1" ht="48.75" customHeight="1" hidden="1">
      <c r="A155" s="76"/>
      <c r="B155" s="101" t="s">
        <v>179</v>
      </c>
      <c r="C155" s="101" t="s">
        <v>75</v>
      </c>
      <c r="D155" s="101" t="s">
        <v>292</v>
      </c>
      <c r="E155" s="178" t="s">
        <v>82</v>
      </c>
      <c r="F155" s="178"/>
      <c r="G155" s="343"/>
      <c r="H155" s="343"/>
      <c r="I155" s="343"/>
      <c r="J155" s="343"/>
      <c r="K155" s="343"/>
      <c r="L155" s="343"/>
      <c r="M155" s="343">
        <f t="shared" si="69"/>
        <v>0</v>
      </c>
      <c r="N155" s="314">
        <f>SUM(N156:N158)</f>
        <v>0</v>
      </c>
      <c r="O155" s="314">
        <f>SUM(O156:O158)</f>
        <v>0</v>
      </c>
      <c r="P155" s="314">
        <f>SUM(P156:P158)</f>
        <v>0</v>
      </c>
      <c r="Q155" s="314">
        <f>SUM(Q156:Q158)</f>
        <v>0</v>
      </c>
      <c r="R155" s="314">
        <f>SUM(R156:R158)</f>
        <v>0</v>
      </c>
      <c r="S155" s="314">
        <f aca="true" t="shared" si="77" ref="S155:X155">SUM(S156:S158)</f>
        <v>0</v>
      </c>
      <c r="T155" s="314">
        <f t="shared" si="77"/>
        <v>0</v>
      </c>
      <c r="U155" s="314">
        <f t="shared" si="77"/>
        <v>0</v>
      </c>
      <c r="V155" s="314">
        <f t="shared" si="77"/>
        <v>0</v>
      </c>
      <c r="W155" s="314">
        <f t="shared" si="77"/>
        <v>0</v>
      </c>
      <c r="X155" s="314">
        <f t="shared" si="77"/>
        <v>0</v>
      </c>
      <c r="Y155" s="315">
        <f t="shared" si="73"/>
        <v>0</v>
      </c>
      <c r="Z155" s="314" t="e">
        <f>SUM(#REF!)</f>
        <v>#REF!</v>
      </c>
      <c r="AA155" s="316">
        <f t="shared" si="74"/>
        <v>0</v>
      </c>
      <c r="AB155" s="284"/>
      <c r="AC155" s="284"/>
      <c r="AD155" s="284"/>
      <c r="AE155" s="284"/>
    </row>
    <row r="156" spans="1:31" s="281" customFormat="1" ht="105" customHeight="1" hidden="1">
      <c r="A156" s="76"/>
      <c r="B156" s="107"/>
      <c r="C156" s="107"/>
      <c r="D156" s="107"/>
      <c r="E156" s="221" t="s">
        <v>215</v>
      </c>
      <c r="F156" s="221"/>
      <c r="G156" s="343"/>
      <c r="H156" s="343"/>
      <c r="I156" s="343"/>
      <c r="J156" s="343"/>
      <c r="K156" s="343"/>
      <c r="L156" s="343"/>
      <c r="M156" s="343">
        <f t="shared" si="69"/>
        <v>0</v>
      </c>
      <c r="N156" s="314"/>
      <c r="O156" s="314"/>
      <c r="P156" s="314"/>
      <c r="Q156" s="314"/>
      <c r="R156" s="314"/>
      <c r="S156" s="314"/>
      <c r="T156" s="314"/>
      <c r="U156" s="314"/>
      <c r="V156" s="314"/>
      <c r="W156" s="314"/>
      <c r="X156" s="314"/>
      <c r="Y156" s="315">
        <f t="shared" si="73"/>
        <v>0</v>
      </c>
      <c r="Z156" s="314" t="e">
        <f>SUM(#REF!)</f>
        <v>#REF!</v>
      </c>
      <c r="AA156" s="316">
        <f t="shared" si="74"/>
        <v>0</v>
      </c>
      <c r="AB156" s="284"/>
      <c r="AC156" s="284"/>
      <c r="AD156" s="284"/>
      <c r="AE156" s="284"/>
    </row>
    <row r="157" spans="1:31" s="281" customFormat="1" ht="84.75" customHeight="1" hidden="1">
      <c r="A157" s="76"/>
      <c r="B157" s="107"/>
      <c r="C157" s="107"/>
      <c r="D157" s="107"/>
      <c r="E157" s="221" t="s">
        <v>440</v>
      </c>
      <c r="F157" s="221"/>
      <c r="G157" s="343"/>
      <c r="H157" s="343"/>
      <c r="I157" s="343"/>
      <c r="J157" s="343"/>
      <c r="K157" s="343"/>
      <c r="L157" s="343"/>
      <c r="M157" s="343">
        <f t="shared" si="69"/>
        <v>0</v>
      </c>
      <c r="N157" s="314"/>
      <c r="O157" s="314"/>
      <c r="P157" s="314"/>
      <c r="Q157" s="314"/>
      <c r="R157" s="314"/>
      <c r="S157" s="314"/>
      <c r="T157" s="314"/>
      <c r="U157" s="314"/>
      <c r="V157" s="314"/>
      <c r="W157" s="314"/>
      <c r="X157" s="314"/>
      <c r="Y157" s="315">
        <f>SUM(N157:X157)</f>
        <v>0</v>
      </c>
      <c r="Z157" s="314" t="e">
        <f>SUM(#REF!)</f>
        <v>#REF!</v>
      </c>
      <c r="AA157" s="316">
        <f>M157+Y157</f>
        <v>0</v>
      </c>
      <c r="AB157" s="284"/>
      <c r="AC157" s="284"/>
      <c r="AD157" s="284"/>
      <c r="AE157" s="284"/>
    </row>
    <row r="158" spans="1:31" s="281" customFormat="1" ht="62.25" customHeight="1" hidden="1">
      <c r="A158" s="76"/>
      <c r="B158" s="107"/>
      <c r="C158" s="107"/>
      <c r="D158" s="107"/>
      <c r="E158" s="221" t="s">
        <v>483</v>
      </c>
      <c r="F158" s="221"/>
      <c r="G158" s="343"/>
      <c r="H158" s="343"/>
      <c r="I158" s="343"/>
      <c r="J158" s="343"/>
      <c r="K158" s="343"/>
      <c r="L158" s="343"/>
      <c r="M158" s="343">
        <f t="shared" si="69"/>
        <v>0</v>
      </c>
      <c r="N158" s="314"/>
      <c r="O158" s="314"/>
      <c r="P158" s="314"/>
      <c r="Q158" s="314"/>
      <c r="R158" s="314"/>
      <c r="S158" s="314"/>
      <c r="T158" s="314"/>
      <c r="U158" s="314"/>
      <c r="V158" s="314"/>
      <c r="W158" s="314"/>
      <c r="X158" s="314"/>
      <c r="Y158" s="315">
        <f>SUM(N158:X158)</f>
        <v>0</v>
      </c>
      <c r="Z158" s="314" t="e">
        <f>SUM(#REF!)</f>
        <v>#REF!</v>
      </c>
      <c r="AA158" s="316">
        <f>M158+Y158</f>
        <v>0</v>
      </c>
      <c r="AB158" s="284"/>
      <c r="AC158" s="284"/>
      <c r="AD158" s="284"/>
      <c r="AE158" s="284"/>
    </row>
    <row r="159" spans="1:31" s="281" customFormat="1" ht="45.75" customHeight="1" hidden="1">
      <c r="A159" s="76"/>
      <c r="B159" s="101" t="s">
        <v>180</v>
      </c>
      <c r="C159" s="101" t="s">
        <v>76</v>
      </c>
      <c r="D159" s="101" t="s">
        <v>292</v>
      </c>
      <c r="E159" s="116" t="s">
        <v>83</v>
      </c>
      <c r="F159" s="221"/>
      <c r="G159" s="343"/>
      <c r="H159" s="343"/>
      <c r="I159" s="343"/>
      <c r="J159" s="343"/>
      <c r="K159" s="343"/>
      <c r="L159" s="343"/>
      <c r="M159" s="343">
        <f t="shared" si="69"/>
        <v>0</v>
      </c>
      <c r="N159" s="314">
        <f>N160</f>
        <v>0</v>
      </c>
      <c r="O159" s="314">
        <f aca="true" t="shared" si="78" ref="O159:V159">O160</f>
        <v>0</v>
      </c>
      <c r="P159" s="314">
        <f t="shared" si="78"/>
        <v>0</v>
      </c>
      <c r="Q159" s="314">
        <f t="shared" si="78"/>
        <v>0</v>
      </c>
      <c r="R159" s="314">
        <f t="shared" si="78"/>
        <v>0</v>
      </c>
      <c r="S159" s="314">
        <f t="shared" si="78"/>
        <v>0</v>
      </c>
      <c r="T159" s="314">
        <f t="shared" si="78"/>
        <v>0</v>
      </c>
      <c r="U159" s="314">
        <f t="shared" si="78"/>
        <v>0</v>
      </c>
      <c r="V159" s="314">
        <f t="shared" si="78"/>
        <v>0</v>
      </c>
      <c r="W159" s="314"/>
      <c r="X159" s="314"/>
      <c r="Y159" s="315">
        <f>SUM(N159:X159)</f>
        <v>0</v>
      </c>
      <c r="Z159" s="314" t="e">
        <f>SUM(#REF!)</f>
        <v>#REF!</v>
      </c>
      <c r="AA159" s="316">
        <f>M159+Y159</f>
        <v>0</v>
      </c>
      <c r="AB159" s="284"/>
      <c r="AC159" s="284"/>
      <c r="AD159" s="284"/>
      <c r="AE159" s="284"/>
    </row>
    <row r="160" spans="1:31" s="281" customFormat="1" ht="59.25" customHeight="1" hidden="1">
      <c r="A160" s="76"/>
      <c r="B160" s="107"/>
      <c r="C160" s="107"/>
      <c r="D160" s="107"/>
      <c r="E160" s="1" t="s">
        <v>440</v>
      </c>
      <c r="F160" s="221"/>
      <c r="G160" s="343"/>
      <c r="H160" s="343"/>
      <c r="I160" s="343"/>
      <c r="J160" s="343"/>
      <c r="K160" s="343"/>
      <c r="L160" s="343"/>
      <c r="M160" s="343">
        <f t="shared" si="69"/>
        <v>0</v>
      </c>
      <c r="N160" s="314"/>
      <c r="O160" s="314"/>
      <c r="P160" s="314"/>
      <c r="Q160" s="314"/>
      <c r="R160" s="314"/>
      <c r="S160" s="314"/>
      <c r="T160" s="314"/>
      <c r="U160" s="314"/>
      <c r="V160" s="314"/>
      <c r="W160" s="314"/>
      <c r="X160" s="314"/>
      <c r="Y160" s="315">
        <f>SUM(N160:X160)</f>
        <v>0</v>
      </c>
      <c r="Z160" s="314" t="e">
        <f>SUM(#REF!)</f>
        <v>#REF!</v>
      </c>
      <c r="AA160" s="316">
        <f>M160+Y160</f>
        <v>0</v>
      </c>
      <c r="AB160" s="284"/>
      <c r="AC160" s="284"/>
      <c r="AD160" s="284"/>
      <c r="AE160" s="284"/>
    </row>
    <row r="161" spans="1:31" s="281" customFormat="1" ht="37.5" customHeight="1" hidden="1">
      <c r="A161" s="76"/>
      <c r="B161" s="101" t="s">
        <v>182</v>
      </c>
      <c r="C161" s="101" t="s">
        <v>78</v>
      </c>
      <c r="D161" s="101" t="s">
        <v>292</v>
      </c>
      <c r="E161" s="116" t="s">
        <v>85</v>
      </c>
      <c r="F161" s="116"/>
      <c r="G161" s="343"/>
      <c r="H161" s="343"/>
      <c r="I161" s="343"/>
      <c r="J161" s="343"/>
      <c r="K161" s="343"/>
      <c r="L161" s="343"/>
      <c r="M161" s="343">
        <f t="shared" si="69"/>
        <v>0</v>
      </c>
      <c r="N161" s="314">
        <f>SUM(N162:N163)</f>
        <v>0</v>
      </c>
      <c r="O161" s="314">
        <f aca="true" t="shared" si="79" ref="O161:X161">SUM(O162:O163)</f>
        <v>0</v>
      </c>
      <c r="P161" s="314">
        <f t="shared" si="79"/>
        <v>0</v>
      </c>
      <c r="Q161" s="314">
        <f>SUM(Q162:Q163)</f>
        <v>0</v>
      </c>
      <c r="R161" s="314">
        <f t="shared" si="79"/>
        <v>0</v>
      </c>
      <c r="S161" s="314">
        <f t="shared" si="79"/>
        <v>0</v>
      </c>
      <c r="T161" s="314">
        <f t="shared" si="79"/>
        <v>0</v>
      </c>
      <c r="U161" s="314">
        <f t="shared" si="79"/>
        <v>0</v>
      </c>
      <c r="V161" s="314">
        <f t="shared" si="79"/>
        <v>0</v>
      </c>
      <c r="W161" s="314">
        <f t="shared" si="79"/>
        <v>0</v>
      </c>
      <c r="X161" s="314">
        <f t="shared" si="79"/>
        <v>0</v>
      </c>
      <c r="Y161" s="315">
        <f t="shared" si="73"/>
        <v>0</v>
      </c>
      <c r="Z161" s="314">
        <f>SUM(Z163:Z163)</f>
        <v>0</v>
      </c>
      <c r="AA161" s="316">
        <f t="shared" si="74"/>
        <v>0</v>
      </c>
      <c r="AB161" s="284"/>
      <c r="AC161" s="284"/>
      <c r="AD161" s="284"/>
      <c r="AE161" s="284"/>
    </row>
    <row r="162" spans="1:31" s="281" customFormat="1" ht="55.5" customHeight="1" hidden="1">
      <c r="A162" s="140"/>
      <c r="B162" s="107"/>
      <c r="C162" s="107"/>
      <c r="D162" s="107"/>
      <c r="E162" s="221" t="s">
        <v>403</v>
      </c>
      <c r="F162" s="221"/>
      <c r="G162" s="343"/>
      <c r="H162" s="343"/>
      <c r="I162" s="343"/>
      <c r="J162" s="343"/>
      <c r="K162" s="343"/>
      <c r="L162" s="343"/>
      <c r="M162" s="343">
        <f t="shared" si="69"/>
        <v>0</v>
      </c>
      <c r="N162" s="314"/>
      <c r="O162" s="314"/>
      <c r="P162" s="314"/>
      <c r="Q162" s="314"/>
      <c r="R162" s="314"/>
      <c r="S162" s="314"/>
      <c r="T162" s="314"/>
      <c r="U162" s="314"/>
      <c r="V162" s="314"/>
      <c r="W162" s="314"/>
      <c r="X162" s="314"/>
      <c r="Y162" s="315">
        <f t="shared" si="73"/>
        <v>0</v>
      </c>
      <c r="Z162" s="314"/>
      <c r="AA162" s="316">
        <f t="shared" si="74"/>
        <v>0</v>
      </c>
      <c r="AB162" s="348"/>
      <c r="AC162" s="348"/>
      <c r="AD162" s="348"/>
      <c r="AE162" s="348"/>
    </row>
    <row r="163" spans="1:31" s="281" customFormat="1" ht="45" customHeight="1" hidden="1">
      <c r="A163" s="140"/>
      <c r="B163" s="107"/>
      <c r="C163" s="107"/>
      <c r="D163" s="107"/>
      <c r="E163" s="221" t="s">
        <v>598</v>
      </c>
      <c r="F163" s="221"/>
      <c r="G163" s="343"/>
      <c r="H163" s="343"/>
      <c r="I163" s="343"/>
      <c r="J163" s="343"/>
      <c r="K163" s="343"/>
      <c r="L163" s="343"/>
      <c r="M163" s="343">
        <f t="shared" si="69"/>
        <v>0</v>
      </c>
      <c r="N163" s="314"/>
      <c r="O163" s="314"/>
      <c r="P163" s="314"/>
      <c r="Q163" s="314"/>
      <c r="R163" s="314"/>
      <c r="S163" s="314"/>
      <c r="T163" s="314"/>
      <c r="U163" s="314"/>
      <c r="V163" s="314"/>
      <c r="W163" s="314"/>
      <c r="X163" s="314"/>
      <c r="Y163" s="315">
        <f t="shared" si="73"/>
        <v>0</v>
      </c>
      <c r="Z163" s="314"/>
      <c r="AA163" s="316">
        <f t="shared" si="74"/>
        <v>0</v>
      </c>
      <c r="AB163" s="348"/>
      <c r="AC163" s="348"/>
      <c r="AD163" s="348"/>
      <c r="AE163" s="348"/>
    </row>
    <row r="164" spans="1:31" s="281" customFormat="1" ht="31.5" customHeight="1">
      <c r="A164" s="76" t="s">
        <v>302</v>
      </c>
      <c r="B164" s="101" t="s">
        <v>91</v>
      </c>
      <c r="C164" s="101" t="s">
        <v>407</v>
      </c>
      <c r="D164" s="101" t="s">
        <v>292</v>
      </c>
      <c r="E164" s="102" t="s">
        <v>92</v>
      </c>
      <c r="F164" s="102"/>
      <c r="G164" s="343">
        <f aca="true" t="shared" si="80" ref="G164:L164">SUM(G165:G173)</f>
        <v>0</v>
      </c>
      <c r="H164" s="343">
        <f t="shared" si="80"/>
        <v>0</v>
      </c>
      <c r="I164" s="343">
        <f t="shared" si="80"/>
        <v>0</v>
      </c>
      <c r="J164" s="343">
        <f t="shared" si="80"/>
        <v>0</v>
      </c>
      <c r="K164" s="343">
        <f t="shared" si="80"/>
        <v>0</v>
      </c>
      <c r="L164" s="343">
        <f t="shared" si="80"/>
        <v>0</v>
      </c>
      <c r="M164" s="343">
        <f t="shared" si="69"/>
        <v>0</v>
      </c>
      <c r="N164" s="314">
        <f aca="true" t="shared" si="81" ref="N164:T164">SUM(N165:N173)</f>
        <v>0</v>
      </c>
      <c r="O164" s="314">
        <f t="shared" si="81"/>
        <v>0</v>
      </c>
      <c r="P164" s="314">
        <f t="shared" si="81"/>
        <v>0</v>
      </c>
      <c r="Q164" s="314">
        <f t="shared" si="81"/>
        <v>0</v>
      </c>
      <c r="R164" s="314">
        <f t="shared" si="81"/>
        <v>-49999</v>
      </c>
      <c r="S164" s="314">
        <f t="shared" si="81"/>
        <v>0</v>
      </c>
      <c r="T164" s="314">
        <f t="shared" si="81"/>
        <v>0</v>
      </c>
      <c r="U164" s="314"/>
      <c r="V164" s="314">
        <f>SUM(V165:V173)</f>
        <v>-72</v>
      </c>
      <c r="W164" s="314">
        <f>SUM(W165:W173)</f>
        <v>0</v>
      </c>
      <c r="X164" s="314">
        <f>SUM(X165:X173)</f>
        <v>0</v>
      </c>
      <c r="Y164" s="315">
        <f>SUM(N164:X164)</f>
        <v>-50071</v>
      </c>
      <c r="Z164" s="314">
        <f>SUM(Z165:Z173)</f>
        <v>0</v>
      </c>
      <c r="AA164" s="316">
        <f>M164+Y164</f>
        <v>-50071</v>
      </c>
      <c r="AB164" s="284"/>
      <c r="AC164" s="284"/>
      <c r="AD164" s="284"/>
      <c r="AE164" s="284"/>
    </row>
    <row r="165" spans="1:32" s="337" customFormat="1" ht="59.25" customHeight="1">
      <c r="A165" s="140"/>
      <c r="B165" s="107"/>
      <c r="C165" s="107"/>
      <c r="D165" s="107"/>
      <c r="E165" s="1" t="s">
        <v>403</v>
      </c>
      <c r="F165" s="1"/>
      <c r="G165" s="342"/>
      <c r="H165" s="342"/>
      <c r="I165" s="342"/>
      <c r="J165" s="342"/>
      <c r="K165" s="342"/>
      <c r="L165" s="342"/>
      <c r="M165" s="342">
        <f t="shared" si="69"/>
        <v>0</v>
      </c>
      <c r="N165" s="314"/>
      <c r="O165" s="335"/>
      <c r="P165" s="335"/>
      <c r="Q165" s="335"/>
      <c r="R165" s="314">
        <v>-49999</v>
      </c>
      <c r="S165" s="335"/>
      <c r="T165" s="335"/>
      <c r="U165" s="335"/>
      <c r="V165" s="314"/>
      <c r="W165" s="335"/>
      <c r="X165" s="335"/>
      <c r="Y165" s="315">
        <f aca="true" t="shared" si="82" ref="Y165:Y188">SUM(N165:X165)</f>
        <v>-49999</v>
      </c>
      <c r="Z165" s="314"/>
      <c r="AA165" s="316">
        <f aca="true" t="shared" si="83" ref="AA165:AA188">M165+Y165</f>
        <v>-49999</v>
      </c>
      <c r="AB165" s="356"/>
      <c r="AC165" s="348"/>
      <c r="AD165" s="348"/>
      <c r="AE165" s="348"/>
      <c r="AF165" s="357"/>
    </row>
    <row r="166" spans="1:31" s="281" customFormat="1" ht="72" hidden="1">
      <c r="A166" s="140"/>
      <c r="B166" s="107"/>
      <c r="C166" s="107"/>
      <c r="D166" s="107"/>
      <c r="E166" s="108" t="s">
        <v>440</v>
      </c>
      <c r="F166" s="108"/>
      <c r="G166" s="343"/>
      <c r="H166" s="343"/>
      <c r="I166" s="343"/>
      <c r="J166" s="343"/>
      <c r="K166" s="343"/>
      <c r="L166" s="343"/>
      <c r="M166" s="343">
        <f t="shared" si="69"/>
        <v>0</v>
      </c>
      <c r="N166" s="314"/>
      <c r="O166" s="314"/>
      <c r="P166" s="314"/>
      <c r="Q166" s="314"/>
      <c r="R166" s="314"/>
      <c r="S166" s="314"/>
      <c r="T166" s="314"/>
      <c r="U166" s="314"/>
      <c r="V166" s="314"/>
      <c r="W166" s="314"/>
      <c r="X166" s="314"/>
      <c r="Y166" s="315">
        <f t="shared" si="82"/>
        <v>0</v>
      </c>
      <c r="Z166" s="314"/>
      <c r="AA166" s="316">
        <f t="shared" si="83"/>
        <v>0</v>
      </c>
      <c r="AB166" s="348"/>
      <c r="AC166" s="348"/>
      <c r="AD166" s="348"/>
      <c r="AE166" s="348"/>
    </row>
    <row r="167" spans="1:31" s="281" customFormat="1" ht="54" hidden="1">
      <c r="A167" s="140"/>
      <c r="B167" s="107"/>
      <c r="C167" s="107"/>
      <c r="D167" s="107"/>
      <c r="E167" s="108" t="s">
        <v>434</v>
      </c>
      <c r="F167" s="108"/>
      <c r="G167" s="343"/>
      <c r="H167" s="343"/>
      <c r="I167" s="343"/>
      <c r="J167" s="343"/>
      <c r="K167" s="343"/>
      <c r="L167" s="343"/>
      <c r="M167" s="343"/>
      <c r="N167" s="314"/>
      <c r="O167" s="314"/>
      <c r="P167" s="314"/>
      <c r="Q167" s="314"/>
      <c r="R167" s="314"/>
      <c r="S167" s="314"/>
      <c r="T167" s="314"/>
      <c r="U167" s="314"/>
      <c r="V167" s="314"/>
      <c r="W167" s="314"/>
      <c r="X167" s="314"/>
      <c r="Y167" s="315">
        <f t="shared" si="82"/>
        <v>0</v>
      </c>
      <c r="Z167" s="314"/>
      <c r="AA167" s="316">
        <f t="shared" si="83"/>
        <v>0</v>
      </c>
      <c r="AB167" s="348"/>
      <c r="AC167" s="284"/>
      <c r="AD167" s="284"/>
      <c r="AE167" s="284"/>
    </row>
    <row r="168" spans="1:31" s="281" customFormat="1" ht="54" hidden="1">
      <c r="A168" s="76"/>
      <c r="B168" s="101"/>
      <c r="C168" s="101"/>
      <c r="D168" s="101"/>
      <c r="E168" s="1" t="s">
        <v>589</v>
      </c>
      <c r="F168" s="1"/>
      <c r="G168" s="343"/>
      <c r="H168" s="343"/>
      <c r="I168" s="343"/>
      <c r="J168" s="343"/>
      <c r="K168" s="343"/>
      <c r="L168" s="343"/>
      <c r="M168" s="343">
        <f aca="true" t="shared" si="84" ref="M168:M207">SUM(G168:L168)</f>
        <v>0</v>
      </c>
      <c r="N168" s="314"/>
      <c r="O168" s="314"/>
      <c r="P168" s="314"/>
      <c r="Q168" s="314"/>
      <c r="R168" s="314"/>
      <c r="S168" s="314"/>
      <c r="T168" s="314"/>
      <c r="U168" s="314"/>
      <c r="V168" s="314"/>
      <c r="W168" s="314"/>
      <c r="X168" s="314"/>
      <c r="Y168" s="315">
        <f t="shared" si="82"/>
        <v>0</v>
      </c>
      <c r="Z168" s="314"/>
      <c r="AA168" s="316">
        <f t="shared" si="83"/>
        <v>0</v>
      </c>
      <c r="AB168" s="348"/>
      <c r="AC168" s="284"/>
      <c r="AD168" s="284"/>
      <c r="AE168" s="284"/>
    </row>
    <row r="169" spans="1:31" s="281" customFormat="1" ht="54" hidden="1">
      <c r="A169" s="140"/>
      <c r="B169" s="107"/>
      <c r="C169" s="107"/>
      <c r="D169" s="107"/>
      <c r="E169" s="108" t="s">
        <v>438</v>
      </c>
      <c r="F169" s="108"/>
      <c r="G169" s="343"/>
      <c r="H169" s="343"/>
      <c r="I169" s="343"/>
      <c r="J169" s="343"/>
      <c r="K169" s="343"/>
      <c r="L169" s="343"/>
      <c r="M169" s="343">
        <f t="shared" si="84"/>
        <v>0</v>
      </c>
      <c r="N169" s="314"/>
      <c r="O169" s="314"/>
      <c r="P169" s="314"/>
      <c r="Q169" s="314"/>
      <c r="R169" s="314"/>
      <c r="S169" s="314"/>
      <c r="T169" s="314"/>
      <c r="U169" s="314"/>
      <c r="V169" s="314"/>
      <c r="W169" s="314"/>
      <c r="X169" s="314"/>
      <c r="Y169" s="315">
        <f t="shared" si="82"/>
        <v>0</v>
      </c>
      <c r="Z169" s="314"/>
      <c r="AA169" s="316">
        <f t="shared" si="83"/>
        <v>0</v>
      </c>
      <c r="AB169" s="348"/>
      <c r="AC169" s="284"/>
      <c r="AD169" s="284"/>
      <c r="AE169" s="284"/>
    </row>
    <row r="170" spans="1:31" s="281" customFormat="1" ht="50.25" customHeight="1" hidden="1">
      <c r="A170" s="140"/>
      <c r="B170" s="107"/>
      <c r="C170" s="107"/>
      <c r="D170" s="107"/>
      <c r="E170" s="108" t="s">
        <v>485</v>
      </c>
      <c r="F170" s="108"/>
      <c r="G170" s="343"/>
      <c r="H170" s="343"/>
      <c r="I170" s="343"/>
      <c r="J170" s="343"/>
      <c r="K170" s="343"/>
      <c r="L170" s="343"/>
      <c r="M170" s="343">
        <f t="shared" si="84"/>
        <v>0</v>
      </c>
      <c r="N170" s="314"/>
      <c r="O170" s="314"/>
      <c r="P170" s="314"/>
      <c r="Q170" s="314"/>
      <c r="R170" s="314"/>
      <c r="S170" s="314"/>
      <c r="T170" s="314"/>
      <c r="U170" s="314"/>
      <c r="V170" s="314"/>
      <c r="W170" s="314"/>
      <c r="X170" s="314"/>
      <c r="Y170" s="315">
        <f t="shared" si="82"/>
        <v>0</v>
      </c>
      <c r="Z170" s="314"/>
      <c r="AA170" s="316">
        <f t="shared" si="83"/>
        <v>0</v>
      </c>
      <c r="AB170" s="284"/>
      <c r="AC170" s="284"/>
      <c r="AD170" s="284"/>
      <c r="AE170" s="284"/>
    </row>
    <row r="171" spans="1:31" s="281" customFormat="1" ht="72" hidden="1">
      <c r="A171" s="140"/>
      <c r="B171" s="107"/>
      <c r="C171" s="107"/>
      <c r="D171" s="107"/>
      <c r="E171" s="108" t="s">
        <v>439</v>
      </c>
      <c r="F171" s="108"/>
      <c r="G171" s="343"/>
      <c r="H171" s="343"/>
      <c r="I171" s="343"/>
      <c r="J171" s="343"/>
      <c r="K171" s="343"/>
      <c r="L171" s="343"/>
      <c r="M171" s="343">
        <f t="shared" si="84"/>
        <v>0</v>
      </c>
      <c r="N171" s="314"/>
      <c r="O171" s="314"/>
      <c r="P171" s="314"/>
      <c r="Q171" s="314"/>
      <c r="R171" s="314"/>
      <c r="S171" s="314"/>
      <c r="T171" s="314"/>
      <c r="U171" s="314"/>
      <c r="V171" s="314"/>
      <c r="W171" s="314"/>
      <c r="X171" s="314"/>
      <c r="Y171" s="315">
        <f t="shared" si="82"/>
        <v>0</v>
      </c>
      <c r="Z171" s="314"/>
      <c r="AA171" s="316">
        <f t="shared" si="83"/>
        <v>0</v>
      </c>
      <c r="AB171" s="284"/>
      <c r="AC171" s="284"/>
      <c r="AD171" s="284"/>
      <c r="AE171" s="284"/>
    </row>
    <row r="172" spans="1:31" s="281" customFormat="1" ht="64.5" customHeight="1">
      <c r="A172" s="140"/>
      <c r="B172" s="107"/>
      <c r="C172" s="107"/>
      <c r="D172" s="107"/>
      <c r="E172" s="108" t="s">
        <v>693</v>
      </c>
      <c r="F172" s="108"/>
      <c r="G172" s="343"/>
      <c r="H172" s="343"/>
      <c r="I172" s="343"/>
      <c r="J172" s="343"/>
      <c r="K172" s="343"/>
      <c r="L172" s="343"/>
      <c r="M172" s="343">
        <f t="shared" si="84"/>
        <v>0</v>
      </c>
      <c r="N172" s="314"/>
      <c r="O172" s="314"/>
      <c r="P172" s="314"/>
      <c r="Q172" s="314"/>
      <c r="R172" s="314"/>
      <c r="S172" s="314"/>
      <c r="T172" s="314"/>
      <c r="U172" s="314"/>
      <c r="V172" s="314">
        <v>-7000</v>
      </c>
      <c r="W172" s="314"/>
      <c r="X172" s="314"/>
      <c r="Y172" s="315">
        <f t="shared" si="82"/>
        <v>-7000</v>
      </c>
      <c r="Z172" s="314"/>
      <c r="AA172" s="316">
        <f t="shared" si="83"/>
        <v>-7000</v>
      </c>
      <c r="AB172" s="348"/>
      <c r="AC172" s="284"/>
      <c r="AD172" s="284"/>
      <c r="AE172" s="284"/>
    </row>
    <row r="173" spans="1:31" s="281" customFormat="1" ht="54">
      <c r="A173" s="140"/>
      <c r="B173" s="107"/>
      <c r="C173" s="107"/>
      <c r="D173" s="107"/>
      <c r="E173" s="108" t="s">
        <v>697</v>
      </c>
      <c r="F173" s="108"/>
      <c r="G173" s="343"/>
      <c r="H173" s="343"/>
      <c r="I173" s="343"/>
      <c r="J173" s="343"/>
      <c r="K173" s="343"/>
      <c r="L173" s="343"/>
      <c r="M173" s="343">
        <f t="shared" si="84"/>
        <v>0</v>
      </c>
      <c r="N173" s="314"/>
      <c r="O173" s="314"/>
      <c r="P173" s="314"/>
      <c r="Q173" s="314"/>
      <c r="R173" s="314"/>
      <c r="S173" s="314"/>
      <c r="T173" s="314"/>
      <c r="U173" s="314"/>
      <c r="V173" s="314">
        <v>6928</v>
      </c>
      <c r="W173" s="314"/>
      <c r="X173" s="314"/>
      <c r="Y173" s="315">
        <f t="shared" si="82"/>
        <v>6928</v>
      </c>
      <c r="Z173" s="314"/>
      <c r="AA173" s="316">
        <f t="shared" si="83"/>
        <v>6928</v>
      </c>
      <c r="AB173" s="348"/>
      <c r="AC173" s="284"/>
      <c r="AD173" s="284"/>
      <c r="AE173" s="284"/>
    </row>
    <row r="174" spans="1:31" s="281" customFormat="1" ht="45.75" customHeight="1">
      <c r="A174" s="76" t="s">
        <v>267</v>
      </c>
      <c r="B174" s="101" t="s">
        <v>186</v>
      </c>
      <c r="C174" s="101" t="s">
        <v>187</v>
      </c>
      <c r="D174" s="101" t="s">
        <v>188</v>
      </c>
      <c r="E174" s="102" t="s">
        <v>189</v>
      </c>
      <c r="F174" s="102"/>
      <c r="G174" s="343">
        <f aca="true" t="shared" si="85" ref="G174:L174">SUM(G175:G179)</f>
        <v>0</v>
      </c>
      <c r="H174" s="343">
        <f t="shared" si="85"/>
        <v>0</v>
      </c>
      <c r="I174" s="343">
        <f t="shared" si="85"/>
        <v>0</v>
      </c>
      <c r="J174" s="343">
        <f t="shared" si="85"/>
        <v>0</v>
      </c>
      <c r="K174" s="343">
        <f t="shared" si="85"/>
        <v>0</v>
      </c>
      <c r="L174" s="343">
        <f t="shared" si="85"/>
        <v>0</v>
      </c>
      <c r="M174" s="343">
        <f t="shared" si="84"/>
        <v>0</v>
      </c>
      <c r="N174" s="314">
        <f aca="true" t="shared" si="86" ref="N174:X174">SUM(N175:N179)</f>
        <v>0</v>
      </c>
      <c r="O174" s="314">
        <f t="shared" si="86"/>
        <v>0</v>
      </c>
      <c r="P174" s="314">
        <f t="shared" si="86"/>
        <v>0</v>
      </c>
      <c r="Q174" s="314">
        <f t="shared" si="86"/>
        <v>-1241280</v>
      </c>
      <c r="R174" s="314">
        <f t="shared" si="86"/>
        <v>-1928024</v>
      </c>
      <c r="S174" s="314">
        <f t="shared" si="86"/>
        <v>0</v>
      </c>
      <c r="T174" s="314">
        <f t="shared" si="86"/>
        <v>0</v>
      </c>
      <c r="U174" s="314"/>
      <c r="V174" s="314">
        <f t="shared" si="86"/>
        <v>0</v>
      </c>
      <c r="W174" s="314">
        <f t="shared" si="86"/>
        <v>0</v>
      </c>
      <c r="X174" s="314">
        <f t="shared" si="86"/>
        <v>0</v>
      </c>
      <c r="Y174" s="315">
        <f t="shared" si="82"/>
        <v>-3169304</v>
      </c>
      <c r="Z174" s="314">
        <f>SUM(Z175:Z179)</f>
        <v>0</v>
      </c>
      <c r="AA174" s="316">
        <f t="shared" si="83"/>
        <v>-3169304</v>
      </c>
      <c r="AB174" s="284"/>
      <c r="AC174" s="284"/>
      <c r="AD174" s="284"/>
      <c r="AE174" s="284"/>
    </row>
    <row r="175" spans="1:32" s="281" customFormat="1" ht="78" customHeight="1">
      <c r="A175" s="140"/>
      <c r="B175" s="107"/>
      <c r="C175" s="107"/>
      <c r="D175" s="107"/>
      <c r="E175" s="108" t="s">
        <v>233</v>
      </c>
      <c r="F175" s="108"/>
      <c r="G175" s="343"/>
      <c r="H175" s="343"/>
      <c r="I175" s="343"/>
      <c r="J175" s="343"/>
      <c r="K175" s="343"/>
      <c r="L175" s="343"/>
      <c r="M175" s="343">
        <f t="shared" si="84"/>
        <v>0</v>
      </c>
      <c r="N175" s="314"/>
      <c r="O175" s="314"/>
      <c r="P175" s="314"/>
      <c r="Q175" s="314"/>
      <c r="R175" s="314">
        <v>-1928024</v>
      </c>
      <c r="S175" s="314"/>
      <c r="T175" s="314"/>
      <c r="U175" s="314"/>
      <c r="V175" s="314"/>
      <c r="W175" s="314"/>
      <c r="X175" s="314"/>
      <c r="Y175" s="315">
        <f t="shared" si="82"/>
        <v>-1928024</v>
      </c>
      <c r="Z175" s="314"/>
      <c r="AA175" s="316">
        <f t="shared" si="83"/>
        <v>-1928024</v>
      </c>
      <c r="AB175" s="284"/>
      <c r="AC175" s="284"/>
      <c r="AD175" s="284"/>
      <c r="AE175" s="284"/>
      <c r="AF175" s="355"/>
    </row>
    <row r="176" spans="1:31" s="281" customFormat="1" ht="57" customHeight="1">
      <c r="A176" s="140"/>
      <c r="B176" s="107"/>
      <c r="C176" s="107"/>
      <c r="D176" s="107"/>
      <c r="E176" s="221" t="s">
        <v>632</v>
      </c>
      <c r="F176" s="221"/>
      <c r="G176" s="343"/>
      <c r="H176" s="343"/>
      <c r="I176" s="343"/>
      <c r="J176" s="343"/>
      <c r="K176" s="343"/>
      <c r="L176" s="343"/>
      <c r="M176" s="343">
        <f t="shared" si="84"/>
        <v>0</v>
      </c>
      <c r="N176" s="314"/>
      <c r="O176" s="314"/>
      <c r="P176" s="314"/>
      <c r="Q176" s="314">
        <f>-245069-682000-46920-112800-16500-92991</f>
        <v>-1196280</v>
      </c>
      <c r="R176" s="314"/>
      <c r="S176" s="314"/>
      <c r="T176" s="314"/>
      <c r="U176" s="314"/>
      <c r="V176" s="314"/>
      <c r="W176" s="314"/>
      <c r="X176" s="314"/>
      <c r="Y176" s="315">
        <f t="shared" si="82"/>
        <v>-1196280</v>
      </c>
      <c r="Z176" s="314"/>
      <c r="AA176" s="316">
        <f t="shared" si="83"/>
        <v>-1196280</v>
      </c>
      <c r="AB176" s="284"/>
      <c r="AC176" s="284"/>
      <c r="AD176" s="284"/>
      <c r="AE176" s="284"/>
    </row>
    <row r="177" spans="1:31" s="281" customFormat="1" ht="68.25" customHeight="1">
      <c r="A177" s="140"/>
      <c r="B177" s="107"/>
      <c r="C177" s="107"/>
      <c r="D177" s="107"/>
      <c r="E177" s="221" t="s">
        <v>403</v>
      </c>
      <c r="F177" s="221"/>
      <c r="G177" s="343"/>
      <c r="H177" s="343"/>
      <c r="I177" s="343"/>
      <c r="J177" s="343"/>
      <c r="K177" s="343"/>
      <c r="L177" s="343"/>
      <c r="M177" s="343"/>
      <c r="N177" s="314"/>
      <c r="O177" s="314"/>
      <c r="P177" s="314"/>
      <c r="Q177" s="314">
        <v>-45000</v>
      </c>
      <c r="R177" s="314"/>
      <c r="S177" s="314"/>
      <c r="T177" s="314"/>
      <c r="U177" s="314"/>
      <c r="V177" s="314"/>
      <c r="W177" s="314"/>
      <c r="X177" s="314"/>
      <c r="Y177" s="315">
        <f>SUM(N177:X177)</f>
        <v>-45000</v>
      </c>
      <c r="Z177" s="314"/>
      <c r="AA177" s="316">
        <f>M177+Y177</f>
        <v>-45000</v>
      </c>
      <c r="AB177" s="284"/>
      <c r="AC177" s="284"/>
      <c r="AD177" s="284"/>
      <c r="AE177" s="284"/>
    </row>
    <row r="178" spans="1:31" s="281" customFormat="1" ht="72" hidden="1">
      <c r="A178" s="140"/>
      <c r="B178" s="107"/>
      <c r="C178" s="107"/>
      <c r="D178" s="107"/>
      <c r="E178" s="108" t="s">
        <v>429</v>
      </c>
      <c r="F178" s="108"/>
      <c r="G178" s="343"/>
      <c r="H178" s="343"/>
      <c r="I178" s="343"/>
      <c r="J178" s="343"/>
      <c r="K178" s="343"/>
      <c r="L178" s="343"/>
      <c r="M178" s="343">
        <f t="shared" si="84"/>
        <v>0</v>
      </c>
      <c r="N178" s="314"/>
      <c r="O178" s="314"/>
      <c r="P178" s="314"/>
      <c r="Q178" s="314"/>
      <c r="R178" s="314"/>
      <c r="S178" s="314"/>
      <c r="T178" s="314"/>
      <c r="U178" s="314"/>
      <c r="V178" s="314"/>
      <c r="W178" s="314"/>
      <c r="X178" s="314"/>
      <c r="Y178" s="315">
        <f t="shared" si="82"/>
        <v>0</v>
      </c>
      <c r="Z178" s="314"/>
      <c r="AA178" s="316">
        <f t="shared" si="83"/>
        <v>0</v>
      </c>
      <c r="AB178" s="284"/>
      <c r="AC178" s="284"/>
      <c r="AD178" s="284"/>
      <c r="AE178" s="284"/>
    </row>
    <row r="179" spans="1:31" s="281" customFormat="1" ht="36" hidden="1">
      <c r="A179" s="140"/>
      <c r="B179" s="107"/>
      <c r="C179" s="107"/>
      <c r="D179" s="107"/>
      <c r="E179" s="108" t="s">
        <v>408</v>
      </c>
      <c r="F179" s="108"/>
      <c r="G179" s="343"/>
      <c r="H179" s="343"/>
      <c r="I179" s="343"/>
      <c r="J179" s="343"/>
      <c r="K179" s="343"/>
      <c r="L179" s="343"/>
      <c r="M179" s="343">
        <f t="shared" si="84"/>
        <v>0</v>
      </c>
      <c r="N179" s="314"/>
      <c r="O179" s="314"/>
      <c r="P179" s="314"/>
      <c r="Q179" s="314"/>
      <c r="R179" s="314"/>
      <c r="S179" s="314"/>
      <c r="T179" s="314"/>
      <c r="U179" s="314"/>
      <c r="V179" s="314"/>
      <c r="W179" s="314"/>
      <c r="X179" s="314"/>
      <c r="Y179" s="315">
        <f t="shared" si="82"/>
        <v>0</v>
      </c>
      <c r="Z179" s="314"/>
      <c r="AA179" s="316">
        <f t="shared" si="83"/>
        <v>0</v>
      </c>
      <c r="AB179" s="284"/>
      <c r="AC179" s="284"/>
      <c r="AD179" s="284"/>
      <c r="AE179" s="284"/>
    </row>
    <row r="180" spans="1:31" s="281" customFormat="1" ht="31.5" customHeight="1">
      <c r="A180" s="76"/>
      <c r="B180" s="101" t="s">
        <v>496</v>
      </c>
      <c r="C180" s="101" t="s">
        <v>497</v>
      </c>
      <c r="D180" s="101" t="s">
        <v>188</v>
      </c>
      <c r="E180" s="165" t="s">
        <v>526</v>
      </c>
      <c r="F180" s="165"/>
      <c r="G180" s="343"/>
      <c r="H180" s="343"/>
      <c r="I180" s="343"/>
      <c r="J180" s="343"/>
      <c r="K180" s="343"/>
      <c r="L180" s="343"/>
      <c r="M180" s="343">
        <f t="shared" si="84"/>
        <v>0</v>
      </c>
      <c r="N180" s="314">
        <f>SUM(N181:N182)</f>
        <v>0</v>
      </c>
      <c r="O180" s="314">
        <f aca="true" t="shared" si="87" ref="O180:W180">SUM(O181:O182)</f>
        <v>0</v>
      </c>
      <c r="P180" s="314">
        <f t="shared" si="87"/>
        <v>0</v>
      </c>
      <c r="Q180" s="314">
        <f t="shared" si="87"/>
        <v>0</v>
      </c>
      <c r="R180" s="314">
        <f t="shared" si="87"/>
        <v>-3126969</v>
      </c>
      <c r="S180" s="314">
        <f t="shared" si="87"/>
        <v>0</v>
      </c>
      <c r="T180" s="314">
        <f t="shared" si="87"/>
        <v>-3671904</v>
      </c>
      <c r="U180" s="314">
        <f t="shared" si="87"/>
        <v>0</v>
      </c>
      <c r="V180" s="314">
        <f t="shared" si="87"/>
        <v>0</v>
      </c>
      <c r="W180" s="314">
        <f t="shared" si="87"/>
        <v>0</v>
      </c>
      <c r="X180" s="314">
        <f>X181</f>
        <v>0</v>
      </c>
      <c r="Y180" s="315">
        <f>SUM(N180:X180)</f>
        <v>-6798873</v>
      </c>
      <c r="Z180" s="314"/>
      <c r="AA180" s="316">
        <f>M180+Y180</f>
        <v>-6798873</v>
      </c>
      <c r="AB180" s="284"/>
      <c r="AC180" s="284"/>
      <c r="AD180" s="284"/>
      <c r="AE180" s="284"/>
    </row>
    <row r="181" spans="1:31" s="281" customFormat="1" ht="82.5" customHeight="1">
      <c r="A181" s="140"/>
      <c r="B181" s="107"/>
      <c r="C181" s="107"/>
      <c r="D181" s="107"/>
      <c r="E181" s="118" t="s">
        <v>233</v>
      </c>
      <c r="F181" s="118"/>
      <c r="G181" s="343"/>
      <c r="H181" s="343"/>
      <c r="I181" s="343"/>
      <c r="J181" s="343"/>
      <c r="K181" s="343"/>
      <c r="L181" s="343"/>
      <c r="M181" s="343">
        <f t="shared" si="84"/>
        <v>0</v>
      </c>
      <c r="N181" s="314"/>
      <c r="O181" s="314"/>
      <c r="P181" s="314"/>
      <c r="Q181" s="314"/>
      <c r="R181" s="314">
        <f>-2384365-625350-10000-72000-35254</f>
        <v>-3126969</v>
      </c>
      <c r="S181" s="314"/>
      <c r="T181" s="314">
        <v>-3671904</v>
      </c>
      <c r="U181" s="314"/>
      <c r="V181" s="314"/>
      <c r="W181" s="314"/>
      <c r="X181" s="314"/>
      <c r="Y181" s="315">
        <f>SUM(N181:X181)</f>
        <v>-6798873</v>
      </c>
      <c r="Z181" s="314"/>
      <c r="AA181" s="316">
        <f>M181+Y181</f>
        <v>-6798873</v>
      </c>
      <c r="AB181" s="284"/>
      <c r="AC181" s="284"/>
      <c r="AD181" s="348"/>
      <c r="AE181" s="348"/>
    </row>
    <row r="182" spans="1:31" s="281" customFormat="1" ht="127.5" customHeight="1" hidden="1">
      <c r="A182" s="140"/>
      <c r="B182" s="107"/>
      <c r="C182" s="107"/>
      <c r="D182" s="107"/>
      <c r="E182" s="118" t="s">
        <v>761</v>
      </c>
      <c r="F182" s="118"/>
      <c r="G182" s="343"/>
      <c r="H182" s="343"/>
      <c r="I182" s="343"/>
      <c r="J182" s="343"/>
      <c r="K182" s="343"/>
      <c r="L182" s="343"/>
      <c r="M182" s="343"/>
      <c r="N182" s="314"/>
      <c r="O182" s="314"/>
      <c r="P182" s="314"/>
      <c r="Q182" s="314"/>
      <c r="R182" s="314"/>
      <c r="S182" s="314"/>
      <c r="T182" s="314"/>
      <c r="U182" s="314"/>
      <c r="V182" s="314"/>
      <c r="W182" s="314"/>
      <c r="X182" s="314"/>
      <c r="Y182" s="315">
        <f>SUM(N182:X182)</f>
        <v>0</v>
      </c>
      <c r="Z182" s="314"/>
      <c r="AA182" s="316">
        <f>M182+Y182</f>
        <v>0</v>
      </c>
      <c r="AB182" s="348"/>
      <c r="AC182" s="348"/>
      <c r="AD182" s="348"/>
      <c r="AE182" s="348"/>
    </row>
    <row r="183" spans="1:31" s="281" customFormat="1" ht="28.5" customHeight="1" hidden="1">
      <c r="A183" s="76"/>
      <c r="B183" s="101" t="s">
        <v>517</v>
      </c>
      <c r="C183" s="101" t="s">
        <v>518</v>
      </c>
      <c r="D183" s="101" t="s">
        <v>519</v>
      </c>
      <c r="E183" s="165" t="s">
        <v>527</v>
      </c>
      <c r="F183" s="165"/>
      <c r="G183" s="343"/>
      <c r="H183" s="343"/>
      <c r="I183" s="343"/>
      <c r="J183" s="343"/>
      <c r="K183" s="343"/>
      <c r="L183" s="343"/>
      <c r="M183" s="343">
        <f t="shared" si="84"/>
        <v>0</v>
      </c>
      <c r="N183" s="314">
        <f aca="true" t="shared" si="88" ref="N183:W183">N184</f>
        <v>0</v>
      </c>
      <c r="O183" s="314">
        <f t="shared" si="88"/>
        <v>0</v>
      </c>
      <c r="P183" s="314">
        <f t="shared" si="88"/>
        <v>0</v>
      </c>
      <c r="Q183" s="314">
        <f t="shared" si="88"/>
        <v>0</v>
      </c>
      <c r="R183" s="314">
        <f t="shared" si="88"/>
        <v>0</v>
      </c>
      <c r="S183" s="314">
        <f t="shared" si="88"/>
        <v>0</v>
      </c>
      <c r="T183" s="314">
        <f t="shared" si="88"/>
        <v>0</v>
      </c>
      <c r="U183" s="314">
        <f t="shared" si="88"/>
        <v>0</v>
      </c>
      <c r="V183" s="314">
        <f t="shared" si="88"/>
        <v>0</v>
      </c>
      <c r="W183" s="314">
        <f t="shared" si="88"/>
        <v>0</v>
      </c>
      <c r="X183" s="314"/>
      <c r="Y183" s="315">
        <f>SUM(N183:X183)</f>
        <v>0</v>
      </c>
      <c r="Z183" s="314"/>
      <c r="AA183" s="316">
        <f>M183+Y183</f>
        <v>0</v>
      </c>
      <c r="AB183" s="284"/>
      <c r="AC183" s="284"/>
      <c r="AD183" s="284"/>
      <c r="AE183" s="284"/>
    </row>
    <row r="184" spans="1:31" s="281" customFormat="1" ht="72.75" customHeight="1" hidden="1">
      <c r="A184" s="140"/>
      <c r="B184" s="107"/>
      <c r="C184" s="107"/>
      <c r="D184" s="107"/>
      <c r="E184" s="118" t="s">
        <v>233</v>
      </c>
      <c r="F184" s="118"/>
      <c r="G184" s="343"/>
      <c r="H184" s="343"/>
      <c r="I184" s="343"/>
      <c r="J184" s="343"/>
      <c r="K184" s="343"/>
      <c r="L184" s="343"/>
      <c r="M184" s="343">
        <f t="shared" si="84"/>
        <v>0</v>
      </c>
      <c r="N184" s="314"/>
      <c r="O184" s="314"/>
      <c r="P184" s="314"/>
      <c r="Q184" s="314"/>
      <c r="R184" s="314"/>
      <c r="S184" s="314"/>
      <c r="T184" s="314"/>
      <c r="U184" s="314"/>
      <c r="V184" s="314"/>
      <c r="W184" s="314"/>
      <c r="X184" s="314"/>
      <c r="Y184" s="315">
        <f>SUM(N184:X184)</f>
        <v>0</v>
      </c>
      <c r="Z184" s="314"/>
      <c r="AA184" s="316">
        <f>M184+Y184</f>
        <v>0</v>
      </c>
      <c r="AB184" s="348"/>
      <c r="AC184" s="348"/>
      <c r="AD184" s="348"/>
      <c r="AE184" s="348"/>
    </row>
    <row r="185" spans="1:32" s="281" customFormat="1" ht="27" customHeight="1" hidden="1">
      <c r="A185" s="140"/>
      <c r="B185" s="101" t="s">
        <v>196</v>
      </c>
      <c r="C185" s="101" t="s">
        <v>197</v>
      </c>
      <c r="D185" s="101" t="s">
        <v>188</v>
      </c>
      <c r="E185" s="102" t="s">
        <v>581</v>
      </c>
      <c r="F185" s="102"/>
      <c r="G185" s="343"/>
      <c r="H185" s="343"/>
      <c r="I185" s="343"/>
      <c r="J185" s="343"/>
      <c r="K185" s="343"/>
      <c r="L185" s="343"/>
      <c r="M185" s="343">
        <f t="shared" si="84"/>
        <v>0</v>
      </c>
      <c r="N185" s="314">
        <f>N186</f>
        <v>0</v>
      </c>
      <c r="O185" s="314">
        <f aca="true" t="shared" si="89" ref="O185:X185">O186</f>
        <v>0</v>
      </c>
      <c r="P185" s="314">
        <f t="shared" si="89"/>
        <v>0</v>
      </c>
      <c r="Q185" s="314">
        <f t="shared" si="89"/>
        <v>0</v>
      </c>
      <c r="R185" s="314">
        <f t="shared" si="89"/>
        <v>0</v>
      </c>
      <c r="S185" s="314">
        <f t="shared" si="89"/>
        <v>0</v>
      </c>
      <c r="T185" s="314">
        <f t="shared" si="89"/>
        <v>0</v>
      </c>
      <c r="U185" s="314">
        <f t="shared" si="89"/>
        <v>0</v>
      </c>
      <c r="V185" s="314">
        <f t="shared" si="89"/>
        <v>0</v>
      </c>
      <c r="W185" s="314">
        <f t="shared" si="89"/>
        <v>0</v>
      </c>
      <c r="X185" s="314">
        <f t="shared" si="89"/>
        <v>0</v>
      </c>
      <c r="Y185" s="315">
        <f t="shared" si="82"/>
        <v>0</v>
      </c>
      <c r="Z185" s="314"/>
      <c r="AA185" s="316">
        <f t="shared" si="83"/>
        <v>0</v>
      </c>
      <c r="AB185" s="284"/>
      <c r="AC185" s="284"/>
      <c r="AD185" s="284"/>
      <c r="AE185" s="284"/>
      <c r="AF185" s="354"/>
    </row>
    <row r="186" spans="1:32" s="281" customFormat="1" ht="6" customHeight="1" hidden="1">
      <c r="A186" s="140"/>
      <c r="B186" s="107"/>
      <c r="C186" s="107"/>
      <c r="D186" s="107"/>
      <c r="E186" s="108" t="s">
        <v>230</v>
      </c>
      <c r="F186" s="108"/>
      <c r="G186" s="343"/>
      <c r="H186" s="343"/>
      <c r="I186" s="343"/>
      <c r="J186" s="343"/>
      <c r="K186" s="343"/>
      <c r="L186" s="343"/>
      <c r="M186" s="343">
        <f t="shared" si="84"/>
        <v>0</v>
      </c>
      <c r="N186" s="314"/>
      <c r="O186" s="314"/>
      <c r="P186" s="314"/>
      <c r="Q186" s="314"/>
      <c r="R186" s="314"/>
      <c r="S186" s="314"/>
      <c r="T186" s="314"/>
      <c r="U186" s="314"/>
      <c r="V186" s="314"/>
      <c r="W186" s="314"/>
      <c r="X186" s="314"/>
      <c r="Y186" s="315">
        <f t="shared" si="82"/>
        <v>0</v>
      </c>
      <c r="Z186" s="314"/>
      <c r="AA186" s="316">
        <f t="shared" si="83"/>
        <v>0</v>
      </c>
      <c r="AB186" s="348"/>
      <c r="AC186" s="348"/>
      <c r="AD186" s="348"/>
      <c r="AE186" s="348"/>
      <c r="AF186" s="354"/>
    </row>
    <row r="187" spans="1:32" s="337" customFormat="1" ht="66" customHeight="1" hidden="1">
      <c r="A187" s="140"/>
      <c r="B187" s="101" t="s">
        <v>192</v>
      </c>
      <c r="C187" s="101" t="s">
        <v>193</v>
      </c>
      <c r="D187" s="101" t="s">
        <v>268</v>
      </c>
      <c r="E187" s="227" t="s">
        <v>195</v>
      </c>
      <c r="F187" s="358"/>
      <c r="G187" s="342"/>
      <c r="H187" s="342"/>
      <c r="I187" s="342"/>
      <c r="J187" s="342"/>
      <c r="K187" s="342"/>
      <c r="L187" s="342"/>
      <c r="M187" s="343">
        <f t="shared" si="84"/>
        <v>0</v>
      </c>
      <c r="N187" s="335">
        <f>N188</f>
        <v>0</v>
      </c>
      <c r="O187" s="335">
        <f aca="true" t="shared" si="90" ref="O187:X187">O188</f>
        <v>0</v>
      </c>
      <c r="P187" s="314">
        <f t="shared" si="90"/>
        <v>0</v>
      </c>
      <c r="Q187" s="335">
        <f t="shared" si="90"/>
        <v>0</v>
      </c>
      <c r="R187" s="335"/>
      <c r="S187" s="335"/>
      <c r="T187" s="335"/>
      <c r="U187" s="335">
        <f t="shared" si="90"/>
        <v>0</v>
      </c>
      <c r="V187" s="335">
        <f t="shared" si="90"/>
        <v>0</v>
      </c>
      <c r="W187" s="335">
        <f t="shared" si="90"/>
        <v>0</v>
      </c>
      <c r="X187" s="335">
        <f t="shared" si="90"/>
        <v>0</v>
      </c>
      <c r="Y187" s="315">
        <f t="shared" si="82"/>
        <v>0</v>
      </c>
      <c r="Z187" s="314"/>
      <c r="AA187" s="316">
        <f t="shared" si="83"/>
        <v>0</v>
      </c>
      <c r="AB187" s="284"/>
      <c r="AC187" s="284"/>
      <c r="AD187" s="284"/>
      <c r="AE187" s="284"/>
      <c r="AF187" s="354"/>
    </row>
    <row r="188" spans="1:32" s="337" customFormat="1" ht="96" customHeight="1" hidden="1">
      <c r="A188" s="140"/>
      <c r="B188" s="107"/>
      <c r="C188" s="107"/>
      <c r="D188" s="107"/>
      <c r="E188" s="358" t="s">
        <v>230</v>
      </c>
      <c r="F188" s="358"/>
      <c r="G188" s="342"/>
      <c r="H188" s="342"/>
      <c r="I188" s="342"/>
      <c r="J188" s="342"/>
      <c r="K188" s="342"/>
      <c r="L188" s="342"/>
      <c r="M188" s="342">
        <f t="shared" si="84"/>
        <v>0</v>
      </c>
      <c r="N188" s="335"/>
      <c r="O188" s="335"/>
      <c r="P188" s="314"/>
      <c r="Q188" s="335"/>
      <c r="R188" s="335"/>
      <c r="S188" s="335"/>
      <c r="T188" s="335"/>
      <c r="U188" s="335"/>
      <c r="V188" s="335"/>
      <c r="W188" s="335"/>
      <c r="X188" s="335"/>
      <c r="Y188" s="315">
        <f t="shared" si="82"/>
        <v>0</v>
      </c>
      <c r="Z188" s="314"/>
      <c r="AA188" s="316">
        <f t="shared" si="83"/>
        <v>0</v>
      </c>
      <c r="AB188" s="284"/>
      <c r="AC188" s="284"/>
      <c r="AD188" s="284"/>
      <c r="AE188" s="284"/>
      <c r="AF188" s="354"/>
    </row>
    <row r="189" spans="1:31" s="281" customFormat="1" ht="78.75" customHeight="1" hidden="1">
      <c r="A189" s="76"/>
      <c r="B189" s="101" t="s">
        <v>216</v>
      </c>
      <c r="C189" s="101" t="s">
        <v>217</v>
      </c>
      <c r="D189" s="101" t="s">
        <v>268</v>
      </c>
      <c r="E189" s="117" t="s">
        <v>218</v>
      </c>
      <c r="F189" s="117"/>
      <c r="G189" s="343"/>
      <c r="H189" s="343"/>
      <c r="I189" s="343"/>
      <c r="J189" s="343"/>
      <c r="K189" s="343"/>
      <c r="L189" s="343"/>
      <c r="M189" s="343">
        <f t="shared" si="84"/>
        <v>0</v>
      </c>
      <c r="N189" s="314"/>
      <c r="O189" s="314"/>
      <c r="P189" s="314"/>
      <c r="Q189" s="314"/>
      <c r="R189" s="314">
        <f>SUM(R190:R191)</f>
        <v>0</v>
      </c>
      <c r="S189" s="314"/>
      <c r="T189" s="314"/>
      <c r="U189" s="314"/>
      <c r="V189" s="314"/>
      <c r="W189" s="314"/>
      <c r="X189" s="314"/>
      <c r="Y189" s="315">
        <f aca="true" t="shared" si="91" ref="Y189:Y195">SUM(N189:X189)</f>
        <v>0</v>
      </c>
      <c r="Z189" s="314"/>
      <c r="AA189" s="316">
        <f aca="true" t="shared" si="92" ref="AA189:AA195">M189+Y189</f>
        <v>0</v>
      </c>
      <c r="AB189" s="284"/>
      <c r="AC189" s="284"/>
      <c r="AD189" s="284"/>
      <c r="AE189" s="284"/>
    </row>
    <row r="190" spans="1:31" s="337" customFormat="1" ht="82.5" customHeight="1" hidden="1">
      <c r="A190" s="140"/>
      <c r="B190" s="107"/>
      <c r="C190" s="107"/>
      <c r="D190" s="107"/>
      <c r="E190" s="118" t="s">
        <v>762</v>
      </c>
      <c r="F190" s="118"/>
      <c r="G190" s="342"/>
      <c r="H190" s="342"/>
      <c r="I190" s="342"/>
      <c r="J190" s="342"/>
      <c r="K190" s="342"/>
      <c r="L190" s="342"/>
      <c r="M190" s="342"/>
      <c r="N190" s="335"/>
      <c r="O190" s="335"/>
      <c r="P190" s="335"/>
      <c r="Q190" s="335"/>
      <c r="R190" s="314"/>
      <c r="S190" s="335"/>
      <c r="T190" s="335"/>
      <c r="U190" s="335"/>
      <c r="V190" s="335"/>
      <c r="W190" s="335"/>
      <c r="X190" s="335"/>
      <c r="Y190" s="315">
        <f t="shared" si="91"/>
        <v>0</v>
      </c>
      <c r="Z190" s="314"/>
      <c r="AA190" s="316">
        <f t="shared" si="92"/>
        <v>0</v>
      </c>
      <c r="AB190" s="356"/>
      <c r="AC190" s="356"/>
      <c r="AD190" s="356"/>
      <c r="AE190" s="356"/>
    </row>
    <row r="191" spans="1:31" s="337" customFormat="1" ht="159" customHeight="1" hidden="1">
      <c r="A191" s="140"/>
      <c r="B191" s="107"/>
      <c r="C191" s="107"/>
      <c r="D191" s="107"/>
      <c r="E191" s="118" t="s">
        <v>605</v>
      </c>
      <c r="F191" s="118"/>
      <c r="G191" s="342"/>
      <c r="H191" s="342"/>
      <c r="I191" s="342"/>
      <c r="J191" s="342"/>
      <c r="K191" s="342"/>
      <c r="L191" s="342"/>
      <c r="M191" s="342"/>
      <c r="N191" s="335"/>
      <c r="O191" s="335"/>
      <c r="P191" s="335"/>
      <c r="Q191" s="335"/>
      <c r="R191" s="314"/>
      <c r="S191" s="335"/>
      <c r="T191" s="335"/>
      <c r="U191" s="335"/>
      <c r="V191" s="335"/>
      <c r="W191" s="335"/>
      <c r="X191" s="335"/>
      <c r="Y191" s="315">
        <f t="shared" si="91"/>
        <v>0</v>
      </c>
      <c r="Z191" s="314"/>
      <c r="AA191" s="316">
        <f t="shared" si="92"/>
        <v>0</v>
      </c>
      <c r="AB191" s="284"/>
      <c r="AC191" s="284"/>
      <c r="AD191" s="284"/>
      <c r="AE191" s="284"/>
    </row>
    <row r="192" spans="1:31" s="337" customFormat="1" ht="42.75" customHeight="1">
      <c r="A192" s="140"/>
      <c r="B192" s="101" t="s">
        <v>121</v>
      </c>
      <c r="C192" s="101" t="s">
        <v>122</v>
      </c>
      <c r="D192" s="101" t="s">
        <v>268</v>
      </c>
      <c r="E192" s="102" t="s">
        <v>120</v>
      </c>
      <c r="F192" s="118"/>
      <c r="G192" s="342"/>
      <c r="H192" s="342"/>
      <c r="I192" s="342"/>
      <c r="J192" s="342"/>
      <c r="K192" s="342"/>
      <c r="L192" s="342"/>
      <c r="M192" s="342"/>
      <c r="N192" s="314">
        <f>SUM(N193:N194)</f>
        <v>0</v>
      </c>
      <c r="O192" s="314">
        <f aca="true" t="shared" si="93" ref="O192:V192">SUM(O193:O194)</f>
        <v>0</v>
      </c>
      <c r="P192" s="314">
        <f t="shared" si="93"/>
        <v>0</v>
      </c>
      <c r="Q192" s="314">
        <f t="shared" si="93"/>
        <v>0</v>
      </c>
      <c r="R192" s="314">
        <f t="shared" si="93"/>
        <v>0</v>
      </c>
      <c r="S192" s="314">
        <f t="shared" si="93"/>
        <v>0</v>
      </c>
      <c r="T192" s="314">
        <f t="shared" si="93"/>
        <v>0</v>
      </c>
      <c r="U192" s="314">
        <f t="shared" si="93"/>
        <v>0</v>
      </c>
      <c r="V192" s="314">
        <f t="shared" si="93"/>
        <v>2200000</v>
      </c>
      <c r="W192" s="314">
        <f>SUM(W193)</f>
        <v>0</v>
      </c>
      <c r="X192" s="314"/>
      <c r="Y192" s="315">
        <f>SUM(N192:X192)</f>
        <v>2200000</v>
      </c>
      <c r="Z192" s="314"/>
      <c r="AA192" s="316">
        <f t="shared" si="92"/>
        <v>2200000</v>
      </c>
      <c r="AB192" s="356"/>
      <c r="AC192" s="356"/>
      <c r="AD192" s="356"/>
      <c r="AE192" s="356"/>
    </row>
    <row r="193" spans="1:31" s="337" customFormat="1" ht="63" customHeight="1">
      <c r="A193" s="140"/>
      <c r="B193" s="107"/>
      <c r="C193" s="107"/>
      <c r="D193" s="107"/>
      <c r="E193" s="118" t="s">
        <v>403</v>
      </c>
      <c r="F193" s="118"/>
      <c r="G193" s="342"/>
      <c r="H193" s="342"/>
      <c r="I193" s="342"/>
      <c r="J193" s="342"/>
      <c r="K193" s="342"/>
      <c r="L193" s="342"/>
      <c r="M193" s="342"/>
      <c r="N193" s="314"/>
      <c r="O193" s="335"/>
      <c r="P193" s="335"/>
      <c r="Q193" s="335"/>
      <c r="R193" s="314"/>
      <c r="S193" s="335"/>
      <c r="T193" s="335"/>
      <c r="U193" s="335"/>
      <c r="V193" s="314">
        <v>2200000</v>
      </c>
      <c r="W193" s="314"/>
      <c r="X193" s="314"/>
      <c r="Y193" s="315">
        <f>SUM(N193:X193)</f>
        <v>2200000</v>
      </c>
      <c r="Z193" s="314"/>
      <c r="AA193" s="316">
        <f t="shared" si="92"/>
        <v>2200000</v>
      </c>
      <c r="AB193" s="284"/>
      <c r="AC193" s="284"/>
      <c r="AD193" s="284"/>
      <c r="AE193" s="284"/>
    </row>
    <row r="194" spans="1:31" s="337" customFormat="1" ht="50.25" customHeight="1" hidden="1">
      <c r="A194" s="140"/>
      <c r="B194" s="107"/>
      <c r="C194" s="107"/>
      <c r="D194" s="107"/>
      <c r="E194" s="118" t="s">
        <v>209</v>
      </c>
      <c r="F194" s="118"/>
      <c r="G194" s="342"/>
      <c r="H194" s="342"/>
      <c r="I194" s="342"/>
      <c r="J194" s="342"/>
      <c r="K194" s="342"/>
      <c r="L194" s="342"/>
      <c r="M194" s="342"/>
      <c r="N194" s="314"/>
      <c r="O194" s="335"/>
      <c r="P194" s="335"/>
      <c r="Q194" s="335"/>
      <c r="R194" s="314"/>
      <c r="S194" s="335"/>
      <c r="T194" s="335"/>
      <c r="U194" s="335"/>
      <c r="V194" s="314"/>
      <c r="W194" s="314"/>
      <c r="X194" s="314"/>
      <c r="Y194" s="315">
        <f>SUM(N194:X194)</f>
        <v>0</v>
      </c>
      <c r="Z194" s="314"/>
      <c r="AA194" s="316">
        <f t="shared" si="92"/>
        <v>0</v>
      </c>
      <c r="AB194" s="284"/>
      <c r="AC194" s="284"/>
      <c r="AD194" s="284"/>
      <c r="AE194" s="284"/>
    </row>
    <row r="195" spans="1:31" s="337" customFormat="1" ht="64.5" customHeight="1" hidden="1">
      <c r="A195" s="140"/>
      <c r="B195" s="101" t="s">
        <v>487</v>
      </c>
      <c r="C195" s="101" t="s">
        <v>481</v>
      </c>
      <c r="D195" s="101" t="s">
        <v>295</v>
      </c>
      <c r="E195" s="102" t="s">
        <v>482</v>
      </c>
      <c r="F195" s="102"/>
      <c r="G195" s="342"/>
      <c r="H195" s="343">
        <f>SUM(H196:H198)</f>
        <v>0</v>
      </c>
      <c r="I195" s="343">
        <f aca="true" t="shared" si="94" ref="I195:X195">SUM(I196:I198)</f>
        <v>0</v>
      </c>
      <c r="J195" s="343">
        <f t="shared" si="94"/>
        <v>0</v>
      </c>
      <c r="K195" s="343">
        <f t="shared" si="94"/>
        <v>0</v>
      </c>
      <c r="L195" s="343">
        <f t="shared" si="94"/>
        <v>0</v>
      </c>
      <c r="M195" s="343">
        <f t="shared" si="84"/>
        <v>0</v>
      </c>
      <c r="N195" s="314">
        <f t="shared" si="94"/>
        <v>0</v>
      </c>
      <c r="O195" s="314">
        <f t="shared" si="94"/>
        <v>0</v>
      </c>
      <c r="P195" s="314">
        <f t="shared" si="94"/>
        <v>0</v>
      </c>
      <c r="Q195" s="314">
        <f t="shared" si="94"/>
        <v>0</v>
      </c>
      <c r="R195" s="314">
        <f t="shared" si="94"/>
        <v>0</v>
      </c>
      <c r="S195" s="314">
        <f t="shared" si="94"/>
        <v>0</v>
      </c>
      <c r="T195" s="314">
        <f t="shared" si="94"/>
        <v>0</v>
      </c>
      <c r="U195" s="314">
        <f t="shared" si="94"/>
        <v>0</v>
      </c>
      <c r="V195" s="314">
        <f t="shared" si="94"/>
        <v>0</v>
      </c>
      <c r="W195" s="314">
        <f t="shared" si="94"/>
        <v>0</v>
      </c>
      <c r="X195" s="314">
        <f t="shared" si="94"/>
        <v>0</v>
      </c>
      <c r="Y195" s="315">
        <f t="shared" si="91"/>
        <v>0</v>
      </c>
      <c r="Z195" s="314"/>
      <c r="AA195" s="316">
        <f t="shared" si="92"/>
        <v>0</v>
      </c>
      <c r="AB195" s="356"/>
      <c r="AC195" s="356"/>
      <c r="AD195" s="356"/>
      <c r="AE195" s="356"/>
    </row>
    <row r="196" spans="1:31" s="337" customFormat="1" ht="85.5" customHeight="1" hidden="1">
      <c r="A196" s="140"/>
      <c r="B196" s="101"/>
      <c r="C196" s="101"/>
      <c r="D196" s="101"/>
      <c r="E196" s="108" t="s">
        <v>233</v>
      </c>
      <c r="F196" s="108"/>
      <c r="G196" s="342"/>
      <c r="H196" s="343"/>
      <c r="I196" s="343"/>
      <c r="J196" s="343"/>
      <c r="K196" s="343"/>
      <c r="L196" s="343"/>
      <c r="M196" s="343">
        <f t="shared" si="84"/>
        <v>0</v>
      </c>
      <c r="N196" s="314"/>
      <c r="O196" s="314"/>
      <c r="P196" s="314"/>
      <c r="Q196" s="314"/>
      <c r="R196" s="314"/>
      <c r="S196" s="314"/>
      <c r="T196" s="314"/>
      <c r="U196" s="314"/>
      <c r="V196" s="314"/>
      <c r="W196" s="314"/>
      <c r="X196" s="314"/>
      <c r="Y196" s="315">
        <f aca="true" t="shared" si="95" ref="Y196:Y209">SUM(N196:X196)</f>
        <v>0</v>
      </c>
      <c r="Z196" s="314"/>
      <c r="AA196" s="316">
        <f aca="true" t="shared" si="96" ref="AA196:AA209">M196+Y196</f>
        <v>0</v>
      </c>
      <c r="AB196" s="348"/>
      <c r="AC196" s="348"/>
      <c r="AD196" s="348"/>
      <c r="AE196" s="348"/>
    </row>
    <row r="197" spans="1:31" s="337" customFormat="1" ht="50.25" customHeight="1" hidden="1">
      <c r="A197" s="140"/>
      <c r="B197" s="101"/>
      <c r="C197" s="101"/>
      <c r="D197" s="101"/>
      <c r="E197" s="108" t="s">
        <v>479</v>
      </c>
      <c r="F197" s="108"/>
      <c r="G197" s="342"/>
      <c r="H197" s="343"/>
      <c r="I197" s="343"/>
      <c r="J197" s="343"/>
      <c r="K197" s="343"/>
      <c r="L197" s="343"/>
      <c r="M197" s="343">
        <f t="shared" si="84"/>
        <v>0</v>
      </c>
      <c r="N197" s="314"/>
      <c r="O197" s="314"/>
      <c r="P197" s="314"/>
      <c r="Q197" s="314"/>
      <c r="R197" s="314"/>
      <c r="S197" s="314"/>
      <c r="T197" s="314"/>
      <c r="U197" s="314"/>
      <c r="V197" s="314"/>
      <c r="W197" s="314"/>
      <c r="X197" s="314"/>
      <c r="Y197" s="315">
        <f t="shared" si="95"/>
        <v>0</v>
      </c>
      <c r="Z197" s="314"/>
      <c r="AA197" s="316">
        <f t="shared" si="96"/>
        <v>0</v>
      </c>
      <c r="AB197" s="348"/>
      <c r="AC197" s="348"/>
      <c r="AD197" s="348"/>
      <c r="AE197" s="348"/>
    </row>
    <row r="198" spans="1:31" s="337" customFormat="1" ht="58.5" customHeight="1" hidden="1">
      <c r="A198" s="140"/>
      <c r="B198" s="101"/>
      <c r="C198" s="101"/>
      <c r="D198" s="101"/>
      <c r="E198" s="108" t="s">
        <v>535</v>
      </c>
      <c r="F198" s="108"/>
      <c r="G198" s="342"/>
      <c r="H198" s="342"/>
      <c r="I198" s="342"/>
      <c r="J198" s="342"/>
      <c r="K198" s="342"/>
      <c r="L198" s="342"/>
      <c r="M198" s="343">
        <f t="shared" si="84"/>
        <v>0</v>
      </c>
      <c r="N198" s="335"/>
      <c r="O198" s="335"/>
      <c r="P198" s="314"/>
      <c r="Q198" s="335"/>
      <c r="R198" s="314"/>
      <c r="S198" s="335"/>
      <c r="T198" s="335"/>
      <c r="U198" s="335"/>
      <c r="V198" s="314"/>
      <c r="W198" s="335"/>
      <c r="X198" s="335"/>
      <c r="Y198" s="315">
        <f t="shared" si="95"/>
        <v>0</v>
      </c>
      <c r="Z198" s="314"/>
      <c r="AA198" s="316">
        <f t="shared" si="96"/>
        <v>0</v>
      </c>
      <c r="AB198" s="348"/>
      <c r="AC198" s="348"/>
      <c r="AD198" s="348"/>
      <c r="AE198" s="348"/>
    </row>
    <row r="199" spans="1:31" s="337" customFormat="1" ht="58.5" customHeight="1" hidden="1">
      <c r="A199" s="140"/>
      <c r="B199" s="101" t="s">
        <v>613</v>
      </c>
      <c r="C199" s="101" t="s">
        <v>614</v>
      </c>
      <c r="D199" s="101" t="s">
        <v>295</v>
      </c>
      <c r="E199" s="102" t="s">
        <v>670</v>
      </c>
      <c r="F199" s="108"/>
      <c r="G199" s="342"/>
      <c r="H199" s="342"/>
      <c r="I199" s="342"/>
      <c r="J199" s="314">
        <f>J200</f>
        <v>0</v>
      </c>
      <c r="K199" s="342"/>
      <c r="L199" s="342"/>
      <c r="M199" s="343">
        <f t="shared" si="84"/>
        <v>0</v>
      </c>
      <c r="N199" s="314">
        <f>N200</f>
        <v>0</v>
      </c>
      <c r="O199" s="314">
        <f aca="true" t="shared" si="97" ref="O199:V199">O200</f>
        <v>0</v>
      </c>
      <c r="P199" s="314">
        <f t="shared" si="97"/>
        <v>0</v>
      </c>
      <c r="Q199" s="314">
        <f t="shared" si="97"/>
        <v>0</v>
      </c>
      <c r="R199" s="314">
        <f t="shared" si="97"/>
        <v>0</v>
      </c>
      <c r="S199" s="314">
        <f t="shared" si="97"/>
        <v>0</v>
      </c>
      <c r="T199" s="314">
        <f t="shared" si="97"/>
        <v>0</v>
      </c>
      <c r="U199" s="314">
        <f t="shared" si="97"/>
        <v>0</v>
      </c>
      <c r="V199" s="314">
        <f t="shared" si="97"/>
        <v>0</v>
      </c>
      <c r="W199" s="335"/>
      <c r="X199" s="335"/>
      <c r="Y199" s="315">
        <f t="shared" si="95"/>
        <v>0</v>
      </c>
      <c r="Z199" s="314"/>
      <c r="AA199" s="316">
        <f>M199+Y199</f>
        <v>0</v>
      </c>
      <c r="AB199" s="348"/>
      <c r="AC199" s="348"/>
      <c r="AD199" s="348"/>
      <c r="AE199" s="348"/>
    </row>
    <row r="200" spans="1:31" s="337" customFormat="1" ht="116.25" customHeight="1" hidden="1">
      <c r="A200" s="140"/>
      <c r="B200" s="101"/>
      <c r="C200" s="101"/>
      <c r="D200" s="101"/>
      <c r="E200" s="108" t="s">
        <v>763</v>
      </c>
      <c r="F200" s="108"/>
      <c r="G200" s="342"/>
      <c r="H200" s="342"/>
      <c r="I200" s="342"/>
      <c r="J200" s="314"/>
      <c r="K200" s="342"/>
      <c r="L200" s="342"/>
      <c r="M200" s="343"/>
      <c r="N200" s="335"/>
      <c r="O200" s="335"/>
      <c r="P200" s="314"/>
      <c r="Q200" s="335"/>
      <c r="R200" s="314"/>
      <c r="S200" s="335"/>
      <c r="T200" s="335"/>
      <c r="U200" s="335"/>
      <c r="V200" s="314"/>
      <c r="W200" s="335"/>
      <c r="X200" s="335"/>
      <c r="Y200" s="315">
        <f>SUM(N200:X200)</f>
        <v>0</v>
      </c>
      <c r="Z200" s="314"/>
      <c r="AA200" s="316">
        <f>M200+Y200</f>
        <v>0</v>
      </c>
      <c r="AB200" s="348"/>
      <c r="AC200" s="348"/>
      <c r="AD200" s="348"/>
      <c r="AE200" s="348"/>
    </row>
    <row r="201" spans="1:31" s="281" customFormat="1" ht="138" customHeight="1" hidden="1">
      <c r="A201" s="76"/>
      <c r="B201" s="101" t="s">
        <v>484</v>
      </c>
      <c r="C201" s="101" t="s">
        <v>212</v>
      </c>
      <c r="D201" s="101" t="s">
        <v>268</v>
      </c>
      <c r="E201" s="117" t="s">
        <v>210</v>
      </c>
      <c r="F201" s="314">
        <f aca="true" t="shared" si="98" ref="F201:L201">SUM(F202:F205)</f>
        <v>0</v>
      </c>
      <c r="G201" s="314">
        <f t="shared" si="98"/>
        <v>0</v>
      </c>
      <c r="H201" s="314">
        <f t="shared" si="98"/>
        <v>0</v>
      </c>
      <c r="I201" s="314">
        <f t="shared" si="98"/>
        <v>0</v>
      </c>
      <c r="J201" s="314"/>
      <c r="K201" s="314">
        <f t="shared" si="98"/>
        <v>0</v>
      </c>
      <c r="L201" s="314">
        <f t="shared" si="98"/>
        <v>0</v>
      </c>
      <c r="M201" s="343">
        <f t="shared" si="84"/>
        <v>0</v>
      </c>
      <c r="N201" s="314">
        <f aca="true" t="shared" si="99" ref="N201:X201">SUM(N202:N205)</f>
        <v>0</v>
      </c>
      <c r="O201" s="314">
        <f t="shared" si="99"/>
        <v>0</v>
      </c>
      <c r="P201" s="314">
        <f t="shared" si="99"/>
        <v>0</v>
      </c>
      <c r="Q201" s="314">
        <f t="shared" si="99"/>
        <v>0</v>
      </c>
      <c r="R201" s="314">
        <f t="shared" si="99"/>
        <v>0</v>
      </c>
      <c r="S201" s="314">
        <f t="shared" si="99"/>
        <v>0</v>
      </c>
      <c r="T201" s="314">
        <f t="shared" si="99"/>
        <v>0</v>
      </c>
      <c r="U201" s="314">
        <f t="shared" si="99"/>
        <v>0</v>
      </c>
      <c r="V201" s="314">
        <f t="shared" si="99"/>
        <v>0</v>
      </c>
      <c r="W201" s="314">
        <f t="shared" si="99"/>
        <v>0</v>
      </c>
      <c r="X201" s="314">
        <f t="shared" si="99"/>
        <v>0</v>
      </c>
      <c r="Y201" s="315">
        <f t="shared" si="95"/>
        <v>0</v>
      </c>
      <c r="Z201" s="314"/>
      <c r="AA201" s="316">
        <f>M201+Y201</f>
        <v>0</v>
      </c>
      <c r="AB201" s="284"/>
      <c r="AC201" s="284"/>
      <c r="AD201" s="284"/>
      <c r="AE201" s="284"/>
    </row>
    <row r="202" spans="1:31" s="337" customFormat="1" ht="57" customHeight="1" hidden="1">
      <c r="A202" s="140"/>
      <c r="B202" s="107"/>
      <c r="C202" s="107"/>
      <c r="D202" s="107"/>
      <c r="E202" s="118" t="s">
        <v>539</v>
      </c>
      <c r="F202" s="118"/>
      <c r="G202" s="343"/>
      <c r="H202" s="343"/>
      <c r="I202" s="343"/>
      <c r="J202" s="343"/>
      <c r="K202" s="343"/>
      <c r="L202" s="343"/>
      <c r="M202" s="343">
        <f t="shared" si="84"/>
        <v>0</v>
      </c>
      <c r="N202" s="335"/>
      <c r="O202" s="335"/>
      <c r="P202" s="335"/>
      <c r="Q202" s="335"/>
      <c r="R202" s="335"/>
      <c r="S202" s="335"/>
      <c r="T202" s="335"/>
      <c r="U202" s="335"/>
      <c r="V202" s="335"/>
      <c r="W202" s="335"/>
      <c r="X202" s="335"/>
      <c r="Y202" s="315">
        <f t="shared" si="95"/>
        <v>0</v>
      </c>
      <c r="Z202" s="314"/>
      <c r="AA202" s="316">
        <f t="shared" si="96"/>
        <v>0</v>
      </c>
      <c r="AB202" s="284"/>
      <c r="AC202" s="284"/>
      <c r="AD202" s="284"/>
      <c r="AE202" s="284"/>
    </row>
    <row r="203" spans="1:31" s="337" customFormat="1" ht="72" customHeight="1" hidden="1">
      <c r="A203" s="140"/>
      <c r="B203" s="107"/>
      <c r="C203" s="107"/>
      <c r="D203" s="107"/>
      <c r="E203" s="118" t="s">
        <v>404</v>
      </c>
      <c r="F203" s="118"/>
      <c r="G203" s="342"/>
      <c r="H203" s="342"/>
      <c r="I203" s="342"/>
      <c r="J203" s="342"/>
      <c r="K203" s="342"/>
      <c r="L203" s="342"/>
      <c r="M203" s="342">
        <f t="shared" si="84"/>
        <v>0</v>
      </c>
      <c r="N203" s="335"/>
      <c r="O203" s="335"/>
      <c r="P203" s="335"/>
      <c r="Q203" s="335"/>
      <c r="R203" s="335"/>
      <c r="S203" s="335"/>
      <c r="T203" s="335"/>
      <c r="U203" s="335"/>
      <c r="V203" s="335"/>
      <c r="W203" s="335"/>
      <c r="X203" s="335"/>
      <c r="Y203" s="315">
        <f t="shared" si="95"/>
        <v>0</v>
      </c>
      <c r="Z203" s="314"/>
      <c r="AA203" s="316">
        <f t="shared" si="96"/>
        <v>0</v>
      </c>
      <c r="AB203" s="356"/>
      <c r="AC203" s="356"/>
      <c r="AD203" s="356"/>
      <c r="AE203" s="356"/>
    </row>
    <row r="204" spans="1:31" s="337" customFormat="1" ht="57" customHeight="1" hidden="1">
      <c r="A204" s="140"/>
      <c r="B204" s="107"/>
      <c r="C204" s="107"/>
      <c r="D204" s="107"/>
      <c r="E204" s="118" t="s">
        <v>535</v>
      </c>
      <c r="F204" s="118"/>
      <c r="G204" s="342"/>
      <c r="H204" s="342"/>
      <c r="I204" s="342"/>
      <c r="J204" s="343"/>
      <c r="K204" s="342"/>
      <c r="L204" s="342"/>
      <c r="M204" s="342">
        <f t="shared" si="84"/>
        <v>0</v>
      </c>
      <c r="N204" s="335"/>
      <c r="O204" s="335"/>
      <c r="P204" s="335"/>
      <c r="Q204" s="335"/>
      <c r="R204" s="335"/>
      <c r="S204" s="335"/>
      <c r="T204" s="335"/>
      <c r="U204" s="335"/>
      <c r="V204" s="335"/>
      <c r="W204" s="335"/>
      <c r="X204" s="335"/>
      <c r="Y204" s="315">
        <f>SUM(N204:X204)</f>
        <v>0</v>
      </c>
      <c r="Z204" s="314"/>
      <c r="AA204" s="316">
        <f>M204+Y204</f>
        <v>0</v>
      </c>
      <c r="AB204" s="356"/>
      <c r="AC204" s="356"/>
      <c r="AD204" s="356"/>
      <c r="AE204" s="356"/>
    </row>
    <row r="205" spans="1:31" s="337" customFormat="1" ht="109.5" customHeight="1" hidden="1">
      <c r="A205" s="140"/>
      <c r="B205" s="107"/>
      <c r="C205" s="107"/>
      <c r="D205" s="107"/>
      <c r="E205" s="118" t="s">
        <v>225</v>
      </c>
      <c r="F205" s="118"/>
      <c r="G205" s="342"/>
      <c r="H205" s="342"/>
      <c r="I205" s="342"/>
      <c r="J205" s="342"/>
      <c r="K205" s="342"/>
      <c r="L205" s="342"/>
      <c r="M205" s="342">
        <f t="shared" si="84"/>
        <v>0</v>
      </c>
      <c r="N205" s="335"/>
      <c r="O205" s="335"/>
      <c r="P205" s="335"/>
      <c r="Q205" s="335"/>
      <c r="R205" s="335"/>
      <c r="S205" s="335"/>
      <c r="T205" s="335"/>
      <c r="U205" s="335"/>
      <c r="V205" s="335"/>
      <c r="W205" s="335"/>
      <c r="X205" s="335"/>
      <c r="Y205" s="315">
        <f t="shared" si="95"/>
        <v>0</v>
      </c>
      <c r="Z205" s="314"/>
      <c r="AA205" s="316">
        <f t="shared" si="96"/>
        <v>0</v>
      </c>
      <c r="AB205" s="356"/>
      <c r="AC205" s="356"/>
      <c r="AD205" s="356"/>
      <c r="AE205" s="356"/>
    </row>
    <row r="206" spans="1:31" s="337" customFormat="1" ht="51.75" customHeight="1" hidden="1">
      <c r="A206" s="140"/>
      <c r="B206" s="101" t="s">
        <v>622</v>
      </c>
      <c r="C206" s="101" t="s">
        <v>202</v>
      </c>
      <c r="D206" s="101" t="s">
        <v>265</v>
      </c>
      <c r="E206" s="116" t="s">
        <v>203</v>
      </c>
      <c r="F206" s="118"/>
      <c r="G206" s="342"/>
      <c r="H206" s="342"/>
      <c r="I206" s="342"/>
      <c r="J206" s="342"/>
      <c r="K206" s="342"/>
      <c r="L206" s="342"/>
      <c r="M206" s="343">
        <f t="shared" si="84"/>
        <v>0</v>
      </c>
      <c r="N206" s="314">
        <f>N207</f>
        <v>0</v>
      </c>
      <c r="O206" s="314">
        <f aca="true" t="shared" si="100" ref="O206:X206">O207</f>
        <v>0</v>
      </c>
      <c r="P206" s="314">
        <f t="shared" si="100"/>
        <v>0</v>
      </c>
      <c r="Q206" s="314">
        <f t="shared" si="100"/>
        <v>0</v>
      </c>
      <c r="R206" s="314">
        <f t="shared" si="100"/>
        <v>0</v>
      </c>
      <c r="S206" s="314">
        <f t="shared" si="100"/>
        <v>0</v>
      </c>
      <c r="T206" s="314">
        <f t="shared" si="100"/>
        <v>0</v>
      </c>
      <c r="U206" s="314">
        <f t="shared" si="100"/>
        <v>0</v>
      </c>
      <c r="V206" s="314">
        <f t="shared" si="100"/>
        <v>0</v>
      </c>
      <c r="W206" s="314">
        <f t="shared" si="100"/>
        <v>0</v>
      </c>
      <c r="X206" s="314">
        <f t="shared" si="100"/>
        <v>0</v>
      </c>
      <c r="Y206" s="315">
        <f t="shared" si="95"/>
        <v>0</v>
      </c>
      <c r="Z206" s="314"/>
      <c r="AA206" s="316">
        <f t="shared" si="96"/>
        <v>0</v>
      </c>
      <c r="AB206" s="284"/>
      <c r="AC206" s="284"/>
      <c r="AD206" s="284"/>
      <c r="AE206" s="284"/>
    </row>
    <row r="207" spans="1:31" s="337" customFormat="1" ht="93" customHeight="1" hidden="1">
      <c r="A207" s="140"/>
      <c r="B207" s="107"/>
      <c r="C207" s="107"/>
      <c r="D207" s="107"/>
      <c r="E207" s="1" t="s">
        <v>227</v>
      </c>
      <c r="F207" s="118"/>
      <c r="G207" s="342"/>
      <c r="H207" s="342"/>
      <c r="I207" s="342"/>
      <c r="J207" s="342"/>
      <c r="K207" s="342"/>
      <c r="L207" s="342"/>
      <c r="M207" s="343">
        <f t="shared" si="84"/>
        <v>0</v>
      </c>
      <c r="N207" s="314"/>
      <c r="O207" s="314"/>
      <c r="P207" s="314"/>
      <c r="Q207" s="314"/>
      <c r="R207" s="314"/>
      <c r="S207" s="314"/>
      <c r="T207" s="314"/>
      <c r="U207" s="314"/>
      <c r="V207" s="314"/>
      <c r="W207" s="314"/>
      <c r="X207" s="314"/>
      <c r="Y207" s="315">
        <f t="shared" si="95"/>
        <v>0</v>
      </c>
      <c r="Z207" s="314"/>
      <c r="AA207" s="316">
        <f t="shared" si="96"/>
        <v>0</v>
      </c>
      <c r="AB207" s="284"/>
      <c r="AC207" s="284"/>
      <c r="AD207" s="284"/>
      <c r="AE207" s="284"/>
    </row>
    <row r="208" spans="1:31" s="281" customFormat="1" ht="45.75" customHeight="1" hidden="1">
      <c r="A208" s="76" t="s">
        <v>305</v>
      </c>
      <c r="B208" s="101" t="s">
        <v>174</v>
      </c>
      <c r="C208" s="101" t="s">
        <v>175</v>
      </c>
      <c r="D208" s="101" t="s">
        <v>177</v>
      </c>
      <c r="E208" s="129" t="s">
        <v>176</v>
      </c>
      <c r="F208" s="129"/>
      <c r="G208" s="343">
        <f aca="true" t="shared" si="101" ref="G208:L208">SUM(G209:G209)</f>
        <v>0</v>
      </c>
      <c r="H208" s="343">
        <f t="shared" si="101"/>
        <v>0</v>
      </c>
      <c r="I208" s="343">
        <f t="shared" si="101"/>
        <v>0</v>
      </c>
      <c r="J208" s="343">
        <f t="shared" si="101"/>
        <v>0</v>
      </c>
      <c r="K208" s="343">
        <f t="shared" si="101"/>
        <v>0</v>
      </c>
      <c r="L208" s="343">
        <f t="shared" si="101"/>
        <v>0</v>
      </c>
      <c r="M208" s="343">
        <f aca="true" t="shared" si="102" ref="M208:M242">SUM(G208:L208)</f>
        <v>0</v>
      </c>
      <c r="N208" s="314">
        <f aca="true" t="shared" si="103" ref="N208:T208">SUM(N209:N209)</f>
        <v>0</v>
      </c>
      <c r="O208" s="314">
        <f t="shared" si="103"/>
        <v>0</v>
      </c>
      <c r="P208" s="314">
        <f t="shared" si="103"/>
        <v>0</v>
      </c>
      <c r="Q208" s="314">
        <f t="shared" si="103"/>
        <v>0</v>
      </c>
      <c r="R208" s="314">
        <f t="shared" si="103"/>
        <v>0</v>
      </c>
      <c r="S208" s="314">
        <f t="shared" si="103"/>
        <v>0</v>
      </c>
      <c r="T208" s="314">
        <f t="shared" si="103"/>
        <v>0</v>
      </c>
      <c r="U208" s="314"/>
      <c r="V208" s="314">
        <f>SUM(V209:V209)</f>
        <v>0</v>
      </c>
      <c r="W208" s="314">
        <f>SUM(W209:W209)</f>
        <v>0</v>
      </c>
      <c r="X208" s="314">
        <f>SUM(X209:X209)</f>
        <v>0</v>
      </c>
      <c r="Y208" s="315">
        <f t="shared" si="95"/>
        <v>0</v>
      </c>
      <c r="Z208" s="314"/>
      <c r="AA208" s="316">
        <f t="shared" si="96"/>
        <v>0</v>
      </c>
      <c r="AB208" s="284"/>
      <c r="AC208" s="284"/>
      <c r="AD208" s="284"/>
      <c r="AE208" s="284"/>
    </row>
    <row r="209" spans="1:31" s="281" customFormat="1" ht="127.5" customHeight="1" hidden="1">
      <c r="A209" s="140"/>
      <c r="B209" s="107"/>
      <c r="C209" s="107"/>
      <c r="D209" s="107"/>
      <c r="E209" s="228" t="s">
        <v>214</v>
      </c>
      <c r="F209" s="228"/>
      <c r="G209" s="343"/>
      <c r="H209" s="343"/>
      <c r="I209" s="343"/>
      <c r="J209" s="343"/>
      <c r="K209" s="343"/>
      <c r="L209" s="343"/>
      <c r="M209" s="343">
        <f t="shared" si="102"/>
        <v>0</v>
      </c>
      <c r="N209" s="314"/>
      <c r="O209" s="314"/>
      <c r="P209" s="314"/>
      <c r="Q209" s="314"/>
      <c r="R209" s="314"/>
      <c r="S209" s="314"/>
      <c r="T209" s="314"/>
      <c r="U209" s="314"/>
      <c r="V209" s="314"/>
      <c r="W209" s="314"/>
      <c r="X209" s="314"/>
      <c r="Y209" s="315">
        <f t="shared" si="95"/>
        <v>0</v>
      </c>
      <c r="Z209" s="314"/>
      <c r="AA209" s="316">
        <f t="shared" si="96"/>
        <v>0</v>
      </c>
      <c r="AB209" s="359"/>
      <c r="AC209" s="359"/>
      <c r="AD209" s="359"/>
      <c r="AE209" s="359"/>
    </row>
    <row r="210" spans="1:33" s="281" customFormat="1" ht="27" customHeight="1">
      <c r="A210" s="136"/>
      <c r="B210" s="77"/>
      <c r="C210" s="77"/>
      <c r="D210" s="77"/>
      <c r="E210" s="78" t="s">
        <v>359</v>
      </c>
      <c r="F210" s="78"/>
      <c r="G210" s="321">
        <f>G141+G143+G146+G150+G155+G161+G164+G174+G180+G183+G187+G189+G195+G201+G208+G185+G192+G148</f>
        <v>0</v>
      </c>
      <c r="H210" s="321">
        <f>H141+H143+H146+H150+H155+H161+H164+H174+H180+H183+H187+H189+H195+H201+H208+H185+H192+H148</f>
        <v>0</v>
      </c>
      <c r="I210" s="321">
        <f>I141+I143+I146+I150+I155+I161+I164+I174+I180+I183+I187+I189+I195+I201+I208+I185+I192+I148</f>
        <v>0</v>
      </c>
      <c r="J210" s="321">
        <f aca="true" t="shared" si="104" ref="J210:O210">J141+J143+J146+J150+J155+J161+J164+J174+J180+J183+J187+J189+J195+J201+J208+J185+J192+J199+J148+J206</f>
        <v>0</v>
      </c>
      <c r="K210" s="321">
        <f t="shared" si="104"/>
        <v>0</v>
      </c>
      <c r="L210" s="321">
        <f t="shared" si="104"/>
        <v>0</v>
      </c>
      <c r="M210" s="321">
        <f t="shared" si="104"/>
        <v>0</v>
      </c>
      <c r="N210" s="321">
        <f t="shared" si="104"/>
        <v>0</v>
      </c>
      <c r="O210" s="321">
        <f t="shared" si="104"/>
        <v>0</v>
      </c>
      <c r="P210" s="321">
        <f aca="true" t="shared" si="105" ref="P210:AA210">P141+P143+P146+P150+P155+P161+P164+P174+P180+P183+P187+P189+P195+P201+P208+P185+P192+P199+P148+P206+P159</f>
        <v>0</v>
      </c>
      <c r="Q210" s="321">
        <f t="shared" si="105"/>
        <v>-1241280</v>
      </c>
      <c r="R210" s="321">
        <f t="shared" si="105"/>
        <v>-5104992</v>
      </c>
      <c r="S210" s="321">
        <f t="shared" si="105"/>
        <v>0</v>
      </c>
      <c r="T210" s="321">
        <f t="shared" si="105"/>
        <v>-3671904</v>
      </c>
      <c r="U210" s="321">
        <f t="shared" si="105"/>
        <v>0</v>
      </c>
      <c r="V210" s="321">
        <f t="shared" si="105"/>
        <v>2199928</v>
      </c>
      <c r="W210" s="321">
        <f t="shared" si="105"/>
        <v>0</v>
      </c>
      <c r="X210" s="321">
        <f t="shared" si="105"/>
        <v>0</v>
      </c>
      <c r="Y210" s="360">
        <f t="shared" si="105"/>
        <v>-7818248</v>
      </c>
      <c r="Z210" s="321" t="e">
        <f t="shared" si="105"/>
        <v>#REF!</v>
      </c>
      <c r="AA210" s="360">
        <f t="shared" si="105"/>
        <v>-7818248</v>
      </c>
      <c r="AB210" s="361"/>
      <c r="AC210" s="361"/>
      <c r="AD210" s="361"/>
      <c r="AE210" s="361"/>
      <c r="AF210" s="304"/>
      <c r="AG210" s="304"/>
    </row>
    <row r="211" spans="1:31" s="281" customFormat="1" ht="51.75">
      <c r="A211" s="136"/>
      <c r="B211" s="230">
        <v>2800000</v>
      </c>
      <c r="C211" s="77"/>
      <c r="D211" s="77"/>
      <c r="E211" s="134" t="s">
        <v>540</v>
      </c>
      <c r="F211" s="134"/>
      <c r="G211" s="343"/>
      <c r="H211" s="343"/>
      <c r="I211" s="343"/>
      <c r="J211" s="343"/>
      <c r="K211" s="343"/>
      <c r="L211" s="343"/>
      <c r="M211" s="343"/>
      <c r="N211" s="314"/>
      <c r="O211" s="314"/>
      <c r="P211" s="314"/>
      <c r="Q211" s="314"/>
      <c r="R211" s="314"/>
      <c r="S211" s="314"/>
      <c r="T211" s="314"/>
      <c r="U211" s="314"/>
      <c r="V211" s="314"/>
      <c r="W211" s="314"/>
      <c r="X211" s="318"/>
      <c r="Y211" s="315"/>
      <c r="Z211" s="315"/>
      <c r="AA211" s="316"/>
      <c r="AB211" s="284"/>
      <c r="AC211" s="284"/>
      <c r="AD211" s="284"/>
      <c r="AE211" s="284"/>
    </row>
    <row r="212" spans="1:31" s="281" customFormat="1" ht="51.75">
      <c r="A212" s="136"/>
      <c r="B212" s="230">
        <v>2810000</v>
      </c>
      <c r="C212" s="77"/>
      <c r="D212" s="77"/>
      <c r="E212" s="134" t="s">
        <v>540</v>
      </c>
      <c r="F212" s="134"/>
      <c r="G212" s="343"/>
      <c r="H212" s="343"/>
      <c r="I212" s="343"/>
      <c r="J212" s="343"/>
      <c r="K212" s="343"/>
      <c r="L212" s="343"/>
      <c r="M212" s="343"/>
      <c r="N212" s="314"/>
      <c r="O212" s="314"/>
      <c r="P212" s="314"/>
      <c r="Q212" s="314"/>
      <c r="R212" s="314"/>
      <c r="S212" s="314"/>
      <c r="T212" s="314"/>
      <c r="U212" s="314"/>
      <c r="V212" s="314"/>
      <c r="W212" s="314"/>
      <c r="X212" s="318"/>
      <c r="Y212" s="315"/>
      <c r="Z212" s="315"/>
      <c r="AA212" s="316"/>
      <c r="AB212" s="284"/>
      <c r="AC212" s="284"/>
      <c r="AD212" s="284"/>
      <c r="AE212" s="284"/>
    </row>
    <row r="213" spans="1:31" s="281" customFormat="1" ht="66.75" customHeight="1" hidden="1">
      <c r="A213" s="76" t="s">
        <v>260</v>
      </c>
      <c r="B213" s="101" t="s">
        <v>99</v>
      </c>
      <c r="C213" s="101" t="s">
        <v>263</v>
      </c>
      <c r="D213" s="101" t="s">
        <v>261</v>
      </c>
      <c r="E213" s="116" t="s">
        <v>454</v>
      </c>
      <c r="F213" s="116"/>
      <c r="G213" s="343"/>
      <c r="H213" s="343"/>
      <c r="I213" s="343"/>
      <c r="J213" s="343"/>
      <c r="K213" s="343"/>
      <c r="L213" s="343"/>
      <c r="M213" s="343">
        <f t="shared" si="102"/>
        <v>0</v>
      </c>
      <c r="N213" s="314"/>
      <c r="O213" s="314"/>
      <c r="P213" s="314"/>
      <c r="Q213" s="314"/>
      <c r="R213" s="314"/>
      <c r="S213" s="314"/>
      <c r="T213" s="314"/>
      <c r="U213" s="314"/>
      <c r="V213" s="314"/>
      <c r="W213" s="314"/>
      <c r="X213" s="318"/>
      <c r="Y213" s="315">
        <f aca="true" t="shared" si="106" ref="Y213:Y221">SUM(N213:X213)</f>
        <v>0</v>
      </c>
      <c r="Z213" s="315"/>
      <c r="AA213" s="316">
        <f aca="true" t="shared" si="107" ref="AA213:AA221">M213+Y213</f>
        <v>0</v>
      </c>
      <c r="AB213" s="284"/>
      <c r="AC213" s="284"/>
      <c r="AD213" s="284"/>
      <c r="AE213" s="284"/>
    </row>
    <row r="214" spans="1:31" s="281" customFormat="1" ht="41.25" customHeight="1">
      <c r="A214" s="76"/>
      <c r="B214" s="101" t="s">
        <v>126</v>
      </c>
      <c r="C214" s="101" t="s">
        <v>122</v>
      </c>
      <c r="D214" s="101" t="s">
        <v>268</v>
      </c>
      <c r="E214" s="116" t="s">
        <v>120</v>
      </c>
      <c r="F214" s="116"/>
      <c r="G214" s="343"/>
      <c r="H214" s="343"/>
      <c r="I214" s="343"/>
      <c r="J214" s="343"/>
      <c r="K214" s="343"/>
      <c r="L214" s="343"/>
      <c r="M214" s="343">
        <f t="shared" si="102"/>
        <v>0</v>
      </c>
      <c r="N214" s="314">
        <f>N215</f>
        <v>0</v>
      </c>
      <c r="O214" s="314">
        <f aca="true" t="shared" si="108" ref="O214:X214">O215</f>
        <v>0</v>
      </c>
      <c r="P214" s="314">
        <f t="shared" si="108"/>
        <v>0</v>
      </c>
      <c r="Q214" s="314">
        <f t="shared" si="108"/>
        <v>0</v>
      </c>
      <c r="R214" s="314">
        <f t="shared" si="108"/>
        <v>0</v>
      </c>
      <c r="S214" s="314">
        <f t="shared" si="108"/>
        <v>0</v>
      </c>
      <c r="T214" s="314">
        <f t="shared" si="108"/>
        <v>0</v>
      </c>
      <c r="U214" s="314">
        <f t="shared" si="108"/>
        <v>-264000</v>
      </c>
      <c r="V214" s="314">
        <f t="shared" si="108"/>
        <v>0</v>
      </c>
      <c r="W214" s="314">
        <f t="shared" si="108"/>
        <v>0</v>
      </c>
      <c r="X214" s="318">
        <f t="shared" si="108"/>
        <v>0</v>
      </c>
      <c r="Y214" s="315">
        <f t="shared" si="106"/>
        <v>-264000</v>
      </c>
      <c r="Z214" s="315"/>
      <c r="AA214" s="316">
        <f t="shared" si="107"/>
        <v>-264000</v>
      </c>
      <c r="AB214" s="284"/>
      <c r="AC214" s="284"/>
      <c r="AD214" s="284"/>
      <c r="AE214" s="284"/>
    </row>
    <row r="215" spans="1:31" s="281" customFormat="1" ht="42" customHeight="1">
      <c r="A215" s="76"/>
      <c r="B215" s="107"/>
      <c r="C215" s="107"/>
      <c r="D215" s="107"/>
      <c r="E215" s="228" t="s">
        <v>234</v>
      </c>
      <c r="F215" s="228"/>
      <c r="G215" s="343"/>
      <c r="H215" s="343"/>
      <c r="I215" s="343"/>
      <c r="J215" s="343"/>
      <c r="K215" s="343"/>
      <c r="L215" s="343"/>
      <c r="M215" s="343">
        <f t="shared" si="102"/>
        <v>0</v>
      </c>
      <c r="N215" s="314"/>
      <c r="O215" s="314"/>
      <c r="P215" s="314"/>
      <c r="Q215" s="314"/>
      <c r="R215" s="314"/>
      <c r="S215" s="314"/>
      <c r="T215" s="314"/>
      <c r="U215" s="314">
        <v>-264000</v>
      </c>
      <c r="V215" s="314"/>
      <c r="W215" s="314"/>
      <c r="X215" s="318"/>
      <c r="Y215" s="315">
        <f t="shared" si="106"/>
        <v>-264000</v>
      </c>
      <c r="Z215" s="315"/>
      <c r="AA215" s="316">
        <f t="shared" si="107"/>
        <v>-264000</v>
      </c>
      <c r="AB215" s="284"/>
      <c r="AC215" s="284"/>
      <c r="AD215" s="284"/>
      <c r="AE215" s="284"/>
    </row>
    <row r="216" spans="1:31" s="281" customFormat="1" ht="137.25" customHeight="1" hidden="1">
      <c r="A216" s="76"/>
      <c r="B216" s="76" t="s">
        <v>213</v>
      </c>
      <c r="C216" s="76" t="s">
        <v>212</v>
      </c>
      <c r="D216" s="76" t="s">
        <v>268</v>
      </c>
      <c r="E216" s="102" t="s">
        <v>210</v>
      </c>
      <c r="F216" s="102"/>
      <c r="G216" s="314">
        <f>G217</f>
        <v>0</v>
      </c>
      <c r="H216" s="314">
        <f>H217</f>
        <v>0</v>
      </c>
      <c r="I216" s="314">
        <f>I217</f>
        <v>0</v>
      </c>
      <c r="J216" s="314"/>
      <c r="K216" s="314"/>
      <c r="L216" s="314"/>
      <c r="M216" s="314">
        <f t="shared" si="102"/>
        <v>0</v>
      </c>
      <c r="N216" s="314">
        <f aca="true" t="shared" si="109" ref="N216:X216">N217</f>
        <v>0</v>
      </c>
      <c r="O216" s="314">
        <f t="shared" si="109"/>
        <v>0</v>
      </c>
      <c r="P216" s="314">
        <f t="shared" si="109"/>
        <v>0</v>
      </c>
      <c r="Q216" s="314">
        <f t="shared" si="109"/>
        <v>0</v>
      </c>
      <c r="R216" s="314">
        <f t="shared" si="109"/>
        <v>0</v>
      </c>
      <c r="S216" s="314">
        <f t="shared" si="109"/>
        <v>0</v>
      </c>
      <c r="T216" s="314">
        <f t="shared" si="109"/>
        <v>0</v>
      </c>
      <c r="U216" s="314">
        <f t="shared" si="109"/>
        <v>0</v>
      </c>
      <c r="V216" s="314">
        <f t="shared" si="109"/>
        <v>0</v>
      </c>
      <c r="W216" s="314">
        <f t="shared" si="109"/>
        <v>0</v>
      </c>
      <c r="X216" s="314">
        <f t="shared" si="109"/>
        <v>0</v>
      </c>
      <c r="Y216" s="315">
        <f t="shared" si="106"/>
        <v>0</v>
      </c>
      <c r="Z216" s="315"/>
      <c r="AA216" s="316">
        <f t="shared" si="107"/>
        <v>0</v>
      </c>
      <c r="AB216" s="284"/>
      <c r="AC216" s="284"/>
      <c r="AD216" s="284"/>
      <c r="AE216" s="284"/>
    </row>
    <row r="217" spans="1:31" s="281" customFormat="1" ht="45" customHeight="1" hidden="1">
      <c r="A217" s="76"/>
      <c r="B217" s="101"/>
      <c r="C217" s="101"/>
      <c r="D217" s="101"/>
      <c r="E217" s="1" t="s">
        <v>235</v>
      </c>
      <c r="F217" s="1"/>
      <c r="G217" s="314"/>
      <c r="H217" s="314"/>
      <c r="I217" s="314"/>
      <c r="J217" s="314"/>
      <c r="K217" s="314"/>
      <c r="L217" s="314"/>
      <c r="M217" s="314">
        <f t="shared" si="102"/>
        <v>0</v>
      </c>
      <c r="N217" s="314"/>
      <c r="O217" s="314"/>
      <c r="P217" s="314"/>
      <c r="Q217" s="314"/>
      <c r="R217" s="314"/>
      <c r="S217" s="314"/>
      <c r="T217" s="314"/>
      <c r="U217" s="314"/>
      <c r="V217" s="314"/>
      <c r="W217" s="314"/>
      <c r="X217" s="318"/>
      <c r="Y217" s="315">
        <f t="shared" si="106"/>
        <v>0</v>
      </c>
      <c r="Z217" s="315"/>
      <c r="AA217" s="316">
        <f t="shared" si="107"/>
        <v>0</v>
      </c>
      <c r="AB217" s="348"/>
      <c r="AC217" s="348"/>
      <c r="AD217" s="348"/>
      <c r="AE217" s="348"/>
    </row>
    <row r="218" spans="1:31" s="281" customFormat="1" ht="43.5" customHeight="1" hidden="1">
      <c r="A218" s="76"/>
      <c r="B218" s="101" t="s">
        <v>470</v>
      </c>
      <c r="C218" s="101" t="s">
        <v>471</v>
      </c>
      <c r="D218" s="101" t="s">
        <v>472</v>
      </c>
      <c r="E218" s="362" t="s">
        <v>475</v>
      </c>
      <c r="F218" s="362"/>
      <c r="G218" s="314">
        <f>G219</f>
        <v>0</v>
      </c>
      <c r="H218" s="314"/>
      <c r="I218" s="314"/>
      <c r="J218" s="314"/>
      <c r="K218" s="314"/>
      <c r="L218" s="314"/>
      <c r="M218" s="314">
        <f t="shared" si="102"/>
        <v>0</v>
      </c>
      <c r="N218" s="314"/>
      <c r="O218" s="314"/>
      <c r="P218" s="314"/>
      <c r="Q218" s="314"/>
      <c r="R218" s="314"/>
      <c r="S218" s="314"/>
      <c r="T218" s="314"/>
      <c r="U218" s="314"/>
      <c r="V218" s="314"/>
      <c r="W218" s="314"/>
      <c r="X218" s="318"/>
      <c r="Y218" s="315">
        <f t="shared" si="106"/>
        <v>0</v>
      </c>
      <c r="Z218" s="315"/>
      <c r="AA218" s="316">
        <f t="shared" si="107"/>
        <v>0</v>
      </c>
      <c r="AB218" s="284"/>
      <c r="AC218" s="284"/>
      <c r="AD218" s="284"/>
      <c r="AE218" s="284"/>
    </row>
    <row r="219" spans="1:31" s="281" customFormat="1" ht="60" customHeight="1" hidden="1">
      <c r="A219" s="76"/>
      <c r="B219" s="101"/>
      <c r="C219" s="101"/>
      <c r="D219" s="101"/>
      <c r="E219" s="363" t="s">
        <v>474</v>
      </c>
      <c r="F219" s="363"/>
      <c r="G219" s="314"/>
      <c r="H219" s="314"/>
      <c r="I219" s="314"/>
      <c r="J219" s="314"/>
      <c r="K219" s="314"/>
      <c r="L219" s="314"/>
      <c r="M219" s="314">
        <f t="shared" si="102"/>
        <v>0</v>
      </c>
      <c r="N219" s="314"/>
      <c r="O219" s="314"/>
      <c r="P219" s="314"/>
      <c r="Q219" s="314"/>
      <c r="R219" s="314"/>
      <c r="S219" s="314"/>
      <c r="T219" s="314"/>
      <c r="U219" s="314"/>
      <c r="V219" s="314"/>
      <c r="W219" s="314"/>
      <c r="X219" s="318"/>
      <c r="Y219" s="315">
        <f t="shared" si="106"/>
        <v>0</v>
      </c>
      <c r="Z219" s="315"/>
      <c r="AA219" s="316">
        <f t="shared" si="107"/>
        <v>0</v>
      </c>
      <c r="AB219" s="284"/>
      <c r="AC219" s="284"/>
      <c r="AD219" s="284"/>
      <c r="AE219" s="284"/>
    </row>
    <row r="220" spans="1:31" s="281" customFormat="1" ht="29.25" customHeight="1">
      <c r="A220" s="76"/>
      <c r="B220" s="101" t="s">
        <v>473</v>
      </c>
      <c r="C220" s="101" t="s">
        <v>175</v>
      </c>
      <c r="D220" s="101" t="s">
        <v>177</v>
      </c>
      <c r="E220" s="116" t="s">
        <v>176</v>
      </c>
      <c r="F220" s="314">
        <f>F221</f>
        <v>0</v>
      </c>
      <c r="G220" s="314">
        <f>G221</f>
        <v>-6000</v>
      </c>
      <c r="H220" s="314"/>
      <c r="I220" s="314"/>
      <c r="J220" s="314"/>
      <c r="K220" s="314"/>
      <c r="L220" s="314"/>
      <c r="M220" s="314">
        <f>SUM(F220:L220)</f>
        <v>-6000</v>
      </c>
      <c r="N220" s="314"/>
      <c r="O220" s="314"/>
      <c r="P220" s="314"/>
      <c r="Q220" s="314"/>
      <c r="R220" s="314">
        <f>R221</f>
        <v>-53000</v>
      </c>
      <c r="S220" s="314"/>
      <c r="T220" s="314"/>
      <c r="U220" s="314"/>
      <c r="V220" s="314"/>
      <c r="W220" s="314"/>
      <c r="X220" s="318"/>
      <c r="Y220" s="315">
        <f t="shared" si="106"/>
        <v>-53000</v>
      </c>
      <c r="Z220" s="315"/>
      <c r="AA220" s="316">
        <f t="shared" si="107"/>
        <v>-59000</v>
      </c>
      <c r="AB220" s="284"/>
      <c r="AC220" s="284"/>
      <c r="AD220" s="284"/>
      <c r="AE220" s="284"/>
    </row>
    <row r="221" spans="1:31" s="281" customFormat="1" ht="57" customHeight="1">
      <c r="A221" s="76"/>
      <c r="B221" s="101"/>
      <c r="C221" s="101"/>
      <c r="D221" s="101"/>
      <c r="E221" s="1" t="s">
        <v>474</v>
      </c>
      <c r="F221" s="314"/>
      <c r="G221" s="314">
        <v>-6000</v>
      </c>
      <c r="H221" s="314"/>
      <c r="I221" s="314"/>
      <c r="J221" s="314"/>
      <c r="K221" s="314"/>
      <c r="L221" s="314"/>
      <c r="M221" s="314">
        <f>SUM(F221:L221)</f>
        <v>-6000</v>
      </c>
      <c r="N221" s="314"/>
      <c r="O221" s="314"/>
      <c r="P221" s="314"/>
      <c r="Q221" s="314"/>
      <c r="R221" s="314">
        <v>-53000</v>
      </c>
      <c r="S221" s="314"/>
      <c r="T221" s="314"/>
      <c r="U221" s="314"/>
      <c r="V221" s="314"/>
      <c r="W221" s="314"/>
      <c r="X221" s="318"/>
      <c r="Y221" s="315">
        <f t="shared" si="106"/>
        <v>-53000</v>
      </c>
      <c r="Z221" s="315"/>
      <c r="AA221" s="316">
        <f t="shared" si="107"/>
        <v>-59000</v>
      </c>
      <c r="AB221" s="284"/>
      <c r="AC221" s="284"/>
      <c r="AD221" s="284"/>
      <c r="AE221" s="284"/>
    </row>
    <row r="222" spans="1:31" s="281" customFormat="1" ht="34.5" customHeight="1">
      <c r="A222" s="136"/>
      <c r="B222" s="77"/>
      <c r="C222" s="77"/>
      <c r="D222" s="77"/>
      <c r="E222" s="233" t="s">
        <v>359</v>
      </c>
      <c r="F222" s="321">
        <f>F213+F214+F216+F218+F220</f>
        <v>0</v>
      </c>
      <c r="G222" s="321">
        <f>G213+G214+G216+G218+G220</f>
        <v>-6000</v>
      </c>
      <c r="H222" s="321">
        <f aca="true" t="shared" si="110" ref="H222:AA222">H213+H214+H216+H218+H220</f>
        <v>0</v>
      </c>
      <c r="I222" s="321">
        <f t="shared" si="110"/>
        <v>0</v>
      </c>
      <c r="J222" s="321">
        <f t="shared" si="110"/>
        <v>0</v>
      </c>
      <c r="K222" s="321">
        <f t="shared" si="110"/>
        <v>0</v>
      </c>
      <c r="L222" s="321">
        <f t="shared" si="110"/>
        <v>0</v>
      </c>
      <c r="M222" s="321">
        <f t="shared" si="110"/>
        <v>-6000</v>
      </c>
      <c r="N222" s="321">
        <f t="shared" si="110"/>
        <v>0</v>
      </c>
      <c r="O222" s="321">
        <f t="shared" si="110"/>
        <v>0</v>
      </c>
      <c r="P222" s="321">
        <f t="shared" si="110"/>
        <v>0</v>
      </c>
      <c r="Q222" s="321">
        <f t="shared" si="110"/>
        <v>0</v>
      </c>
      <c r="R222" s="321">
        <f t="shared" si="110"/>
        <v>-53000</v>
      </c>
      <c r="S222" s="321">
        <f t="shared" si="110"/>
        <v>0</v>
      </c>
      <c r="T222" s="321">
        <f t="shared" si="110"/>
        <v>0</v>
      </c>
      <c r="U222" s="321">
        <f t="shared" si="110"/>
        <v>-264000</v>
      </c>
      <c r="V222" s="321">
        <f t="shared" si="110"/>
        <v>0</v>
      </c>
      <c r="W222" s="321">
        <f t="shared" si="110"/>
        <v>0</v>
      </c>
      <c r="X222" s="321">
        <f t="shared" si="110"/>
        <v>0</v>
      </c>
      <c r="Y222" s="321">
        <f t="shared" si="110"/>
        <v>-317000</v>
      </c>
      <c r="Z222" s="321">
        <f t="shared" si="110"/>
        <v>0</v>
      </c>
      <c r="AA222" s="316">
        <f t="shared" si="110"/>
        <v>-323000</v>
      </c>
      <c r="AB222" s="284"/>
      <c r="AC222" s="284"/>
      <c r="AD222" s="284"/>
      <c r="AE222" s="284"/>
    </row>
    <row r="223" spans="1:31" s="281" customFormat="1" ht="73.5" customHeight="1">
      <c r="A223" s="136"/>
      <c r="B223" s="77" t="s">
        <v>101</v>
      </c>
      <c r="C223" s="77"/>
      <c r="D223" s="77"/>
      <c r="E223" s="134" t="s">
        <v>764</v>
      </c>
      <c r="F223" s="134"/>
      <c r="G223" s="343"/>
      <c r="H223" s="343"/>
      <c r="I223" s="343"/>
      <c r="J223" s="343"/>
      <c r="K223" s="343"/>
      <c r="L223" s="343"/>
      <c r="M223" s="343"/>
      <c r="N223" s="314"/>
      <c r="O223" s="314"/>
      <c r="P223" s="314"/>
      <c r="Q223" s="314"/>
      <c r="R223" s="314"/>
      <c r="S223" s="314"/>
      <c r="T223" s="314"/>
      <c r="U223" s="314"/>
      <c r="V223" s="314"/>
      <c r="W223" s="314"/>
      <c r="X223" s="318"/>
      <c r="Y223" s="315"/>
      <c r="Z223" s="315"/>
      <c r="AA223" s="316"/>
      <c r="AB223" s="284"/>
      <c r="AC223" s="284"/>
      <c r="AD223" s="284"/>
      <c r="AE223" s="284"/>
    </row>
    <row r="224" spans="1:31" s="281" customFormat="1" ht="69.75" customHeight="1">
      <c r="A224" s="136"/>
      <c r="B224" s="93" t="s">
        <v>102</v>
      </c>
      <c r="C224" s="101"/>
      <c r="D224" s="101"/>
      <c r="E224" s="134" t="s">
        <v>541</v>
      </c>
      <c r="F224" s="134"/>
      <c r="G224" s="343"/>
      <c r="H224" s="343"/>
      <c r="I224" s="343"/>
      <c r="J224" s="343"/>
      <c r="K224" s="343"/>
      <c r="L224" s="343"/>
      <c r="M224" s="343"/>
      <c r="N224" s="314"/>
      <c r="O224" s="314"/>
      <c r="P224" s="314"/>
      <c r="Q224" s="314"/>
      <c r="R224" s="314"/>
      <c r="S224" s="314"/>
      <c r="T224" s="314"/>
      <c r="U224" s="314"/>
      <c r="V224" s="314"/>
      <c r="W224" s="314"/>
      <c r="X224" s="318"/>
      <c r="Y224" s="315"/>
      <c r="Z224" s="315"/>
      <c r="AA224" s="316"/>
      <c r="AB224" s="284"/>
      <c r="AC224" s="284"/>
      <c r="AD224" s="284"/>
      <c r="AE224" s="284"/>
    </row>
    <row r="225" spans="1:31" s="281" customFormat="1" ht="103.5" customHeight="1" hidden="1">
      <c r="A225" s="76" t="s">
        <v>260</v>
      </c>
      <c r="B225" s="101" t="s">
        <v>103</v>
      </c>
      <c r="C225" s="101" t="s">
        <v>317</v>
      </c>
      <c r="D225" s="101" t="s">
        <v>261</v>
      </c>
      <c r="E225" s="116" t="s">
        <v>454</v>
      </c>
      <c r="F225" s="116"/>
      <c r="G225" s="343"/>
      <c r="H225" s="343"/>
      <c r="I225" s="343"/>
      <c r="J225" s="343"/>
      <c r="K225" s="343"/>
      <c r="L225" s="343"/>
      <c r="M225" s="343">
        <f t="shared" si="102"/>
        <v>0</v>
      </c>
      <c r="N225" s="314"/>
      <c r="O225" s="314"/>
      <c r="P225" s="314"/>
      <c r="Q225" s="314"/>
      <c r="R225" s="314"/>
      <c r="S225" s="314"/>
      <c r="T225" s="314"/>
      <c r="U225" s="314"/>
      <c r="V225" s="314"/>
      <c r="W225" s="314"/>
      <c r="X225" s="318"/>
      <c r="Y225" s="315">
        <f aca="true" t="shared" si="111" ref="Y225:Y237">SUM(N225:X225)</f>
        <v>0</v>
      </c>
      <c r="Z225" s="315"/>
      <c r="AA225" s="316">
        <f>M225+Y225</f>
        <v>0</v>
      </c>
      <c r="AB225" s="284"/>
      <c r="AC225" s="284"/>
      <c r="AD225" s="284"/>
      <c r="AE225" s="284"/>
    </row>
    <row r="226" spans="1:31" s="281" customFormat="1" ht="48" customHeight="1">
      <c r="A226" s="76"/>
      <c r="B226" s="101" t="s">
        <v>687</v>
      </c>
      <c r="C226" s="101" t="s">
        <v>191</v>
      </c>
      <c r="D226" s="101"/>
      <c r="E226" s="227" t="s">
        <v>194</v>
      </c>
      <c r="F226" s="116"/>
      <c r="G226" s="343"/>
      <c r="H226" s="343"/>
      <c r="I226" s="343"/>
      <c r="J226" s="343"/>
      <c r="K226" s="343"/>
      <c r="L226" s="343"/>
      <c r="M226" s="343">
        <f t="shared" si="102"/>
        <v>0</v>
      </c>
      <c r="N226" s="314">
        <f>N227</f>
        <v>0</v>
      </c>
      <c r="O226" s="314">
        <f aca="true" t="shared" si="112" ref="O226:V226">O227</f>
        <v>0</v>
      </c>
      <c r="P226" s="314">
        <f t="shared" si="112"/>
        <v>3654425</v>
      </c>
      <c r="Q226" s="314">
        <f t="shared" si="112"/>
        <v>0</v>
      </c>
      <c r="R226" s="314">
        <f t="shared" si="112"/>
        <v>0</v>
      </c>
      <c r="S226" s="314">
        <f t="shared" si="112"/>
        <v>0</v>
      </c>
      <c r="T226" s="314">
        <f t="shared" si="112"/>
        <v>0</v>
      </c>
      <c r="U226" s="314">
        <f t="shared" si="112"/>
        <v>0</v>
      </c>
      <c r="V226" s="314">
        <f t="shared" si="112"/>
        <v>0</v>
      </c>
      <c r="W226" s="314"/>
      <c r="X226" s="318"/>
      <c r="Y226" s="315">
        <f>SUM(N226:X226)</f>
        <v>3654425</v>
      </c>
      <c r="Z226" s="315"/>
      <c r="AA226" s="316">
        <f>M226+Y226</f>
        <v>3654425</v>
      </c>
      <c r="AB226" s="284"/>
      <c r="AC226" s="284"/>
      <c r="AD226" s="284"/>
      <c r="AE226" s="284"/>
    </row>
    <row r="227" spans="1:31" s="281" customFormat="1" ht="97.5" customHeight="1">
      <c r="A227" s="76"/>
      <c r="B227" s="101" t="s">
        <v>688</v>
      </c>
      <c r="C227" s="101" t="s">
        <v>217</v>
      </c>
      <c r="D227" s="101" t="s">
        <v>268</v>
      </c>
      <c r="E227" s="118" t="s">
        <v>746</v>
      </c>
      <c r="F227" s="116"/>
      <c r="G227" s="343"/>
      <c r="H227" s="343"/>
      <c r="I227" s="343"/>
      <c r="J227" s="343"/>
      <c r="K227" s="343"/>
      <c r="L227" s="343"/>
      <c r="M227" s="343"/>
      <c r="N227" s="314"/>
      <c r="O227" s="314"/>
      <c r="P227" s="314">
        <v>3654425</v>
      </c>
      <c r="Q227" s="314"/>
      <c r="R227" s="314"/>
      <c r="S227" s="314"/>
      <c r="T227" s="314"/>
      <c r="U227" s="314"/>
      <c r="V227" s="314"/>
      <c r="W227" s="314"/>
      <c r="X227" s="318"/>
      <c r="Y227" s="315">
        <f>SUM(N227:X227)</f>
        <v>3654425</v>
      </c>
      <c r="Z227" s="315"/>
      <c r="AA227" s="316">
        <f>M227+Y227</f>
        <v>3654425</v>
      </c>
      <c r="AB227" s="284"/>
      <c r="AC227" s="284"/>
      <c r="AD227" s="284"/>
      <c r="AE227" s="284"/>
    </row>
    <row r="228" spans="1:31" s="281" customFormat="1" ht="53.25" customHeight="1">
      <c r="A228" s="76"/>
      <c r="B228" s="101" t="s">
        <v>207</v>
      </c>
      <c r="C228" s="101" t="s">
        <v>122</v>
      </c>
      <c r="D228" s="101" t="s">
        <v>268</v>
      </c>
      <c r="E228" s="116" t="s">
        <v>120</v>
      </c>
      <c r="F228" s="116"/>
      <c r="G228" s="343"/>
      <c r="H228" s="343"/>
      <c r="I228" s="343"/>
      <c r="J228" s="343"/>
      <c r="K228" s="343"/>
      <c r="L228" s="343"/>
      <c r="M228" s="343">
        <f t="shared" si="102"/>
        <v>0</v>
      </c>
      <c r="N228" s="314">
        <f aca="true" t="shared" si="113" ref="N228:X228">N229</f>
        <v>0</v>
      </c>
      <c r="O228" s="314">
        <f t="shared" si="113"/>
        <v>0</v>
      </c>
      <c r="P228" s="314">
        <f t="shared" si="113"/>
        <v>-1355255</v>
      </c>
      <c r="Q228" s="314">
        <f t="shared" si="113"/>
        <v>0</v>
      </c>
      <c r="R228" s="314">
        <f t="shared" si="113"/>
        <v>0</v>
      </c>
      <c r="S228" s="314">
        <f t="shared" si="113"/>
        <v>0</v>
      </c>
      <c r="T228" s="314">
        <f t="shared" si="113"/>
        <v>123390</v>
      </c>
      <c r="U228" s="314">
        <f t="shared" si="113"/>
        <v>0</v>
      </c>
      <c r="V228" s="314">
        <f t="shared" si="113"/>
        <v>0</v>
      </c>
      <c r="W228" s="314">
        <f t="shared" si="113"/>
        <v>0</v>
      </c>
      <c r="X228" s="318">
        <f t="shared" si="113"/>
        <v>0</v>
      </c>
      <c r="Y228" s="315">
        <f t="shared" si="111"/>
        <v>-1231865</v>
      </c>
      <c r="Z228" s="315"/>
      <c r="AA228" s="316">
        <f aca="true" t="shared" si="114" ref="AA228:AA234">M228+Y228</f>
        <v>-1231865</v>
      </c>
      <c r="AB228" s="284"/>
      <c r="AC228" s="284"/>
      <c r="AD228" s="284"/>
      <c r="AE228" s="284"/>
    </row>
    <row r="229" spans="1:31" s="337" customFormat="1" ht="78" customHeight="1">
      <c r="A229" s="140"/>
      <c r="B229" s="107"/>
      <c r="C229" s="107"/>
      <c r="D229" s="107"/>
      <c r="E229" s="1" t="s">
        <v>236</v>
      </c>
      <c r="F229" s="1"/>
      <c r="G229" s="342"/>
      <c r="H229" s="342"/>
      <c r="I229" s="342"/>
      <c r="J229" s="342"/>
      <c r="K229" s="342"/>
      <c r="L229" s="342"/>
      <c r="M229" s="343">
        <f t="shared" si="102"/>
        <v>0</v>
      </c>
      <c r="N229" s="314"/>
      <c r="O229" s="314"/>
      <c r="P229" s="314">
        <f>-1361865+6610</f>
        <v>-1355255</v>
      </c>
      <c r="Q229" s="335"/>
      <c r="R229" s="335"/>
      <c r="S229" s="335"/>
      <c r="T229" s="314">
        <f>1361865-6610-1231865</f>
        <v>123390</v>
      </c>
      <c r="U229" s="335"/>
      <c r="V229" s="335"/>
      <c r="W229" s="335"/>
      <c r="X229" s="336"/>
      <c r="Y229" s="315">
        <f t="shared" si="111"/>
        <v>-1231865</v>
      </c>
      <c r="Z229" s="315"/>
      <c r="AA229" s="316">
        <f t="shared" si="114"/>
        <v>-1231865</v>
      </c>
      <c r="AB229" s="284"/>
      <c r="AC229" s="284"/>
      <c r="AD229" s="284"/>
      <c r="AE229" s="284"/>
    </row>
    <row r="230" spans="1:31" s="281" customFormat="1" ht="53.25" customHeight="1">
      <c r="A230" s="76"/>
      <c r="B230" s="101" t="s">
        <v>201</v>
      </c>
      <c r="C230" s="101" t="s">
        <v>202</v>
      </c>
      <c r="D230" s="101" t="s">
        <v>265</v>
      </c>
      <c r="E230" s="116" t="s">
        <v>203</v>
      </c>
      <c r="F230" s="116"/>
      <c r="G230" s="343"/>
      <c r="H230" s="343"/>
      <c r="I230" s="343"/>
      <c r="J230" s="343"/>
      <c r="K230" s="343"/>
      <c r="L230" s="343"/>
      <c r="M230" s="343">
        <f t="shared" si="102"/>
        <v>0</v>
      </c>
      <c r="N230" s="314">
        <f>N231</f>
        <v>15700</v>
      </c>
      <c r="O230" s="314">
        <f aca="true" t="shared" si="115" ref="O230:X230">O231</f>
        <v>0</v>
      </c>
      <c r="P230" s="314">
        <f t="shared" si="115"/>
        <v>0</v>
      </c>
      <c r="Q230" s="314">
        <f t="shared" si="115"/>
        <v>0</v>
      </c>
      <c r="R230" s="314">
        <f t="shared" si="115"/>
        <v>0</v>
      </c>
      <c r="S230" s="314">
        <f t="shared" si="115"/>
        <v>0</v>
      </c>
      <c r="T230" s="314">
        <f t="shared" si="115"/>
        <v>0</v>
      </c>
      <c r="U230" s="314">
        <f t="shared" si="115"/>
        <v>0</v>
      </c>
      <c r="V230" s="314">
        <f t="shared" si="115"/>
        <v>0</v>
      </c>
      <c r="W230" s="314">
        <f t="shared" si="115"/>
        <v>0</v>
      </c>
      <c r="X230" s="318">
        <f t="shared" si="115"/>
        <v>0</v>
      </c>
      <c r="Y230" s="315">
        <f t="shared" si="111"/>
        <v>15700</v>
      </c>
      <c r="Z230" s="315"/>
      <c r="AA230" s="316">
        <f t="shared" si="114"/>
        <v>15700</v>
      </c>
      <c r="AB230" s="284"/>
      <c r="AC230" s="284"/>
      <c r="AD230" s="284"/>
      <c r="AE230" s="284"/>
    </row>
    <row r="231" spans="1:31" s="281" customFormat="1" ht="87.75" customHeight="1">
      <c r="A231" s="76"/>
      <c r="B231" s="107"/>
      <c r="C231" s="107"/>
      <c r="D231" s="107"/>
      <c r="E231" s="1" t="s">
        <v>227</v>
      </c>
      <c r="F231" s="1"/>
      <c r="G231" s="343"/>
      <c r="H231" s="343"/>
      <c r="I231" s="343"/>
      <c r="J231" s="343"/>
      <c r="K231" s="343"/>
      <c r="L231" s="343"/>
      <c r="M231" s="343">
        <f t="shared" si="102"/>
        <v>0</v>
      </c>
      <c r="N231" s="314">
        <v>15700</v>
      </c>
      <c r="O231" s="314"/>
      <c r="P231" s="314"/>
      <c r="Q231" s="314"/>
      <c r="R231" s="314"/>
      <c r="S231" s="314"/>
      <c r="T231" s="314"/>
      <c r="U231" s="314"/>
      <c r="V231" s="314"/>
      <c r="W231" s="314"/>
      <c r="X231" s="318"/>
      <c r="Y231" s="315">
        <f t="shared" si="111"/>
        <v>15700</v>
      </c>
      <c r="Z231" s="315"/>
      <c r="AA231" s="316">
        <f t="shared" si="114"/>
        <v>15700</v>
      </c>
      <c r="AB231" s="284"/>
      <c r="AC231" s="284"/>
      <c r="AD231" s="284"/>
      <c r="AE231" s="284"/>
    </row>
    <row r="232" spans="1:31" s="281" customFormat="1" ht="40.5" customHeight="1">
      <c r="A232" s="76"/>
      <c r="B232" s="101" t="s">
        <v>204</v>
      </c>
      <c r="C232" s="101" t="s">
        <v>205</v>
      </c>
      <c r="D232" s="101" t="s">
        <v>265</v>
      </c>
      <c r="E232" s="116" t="s">
        <v>206</v>
      </c>
      <c r="F232" s="116"/>
      <c r="G232" s="343"/>
      <c r="H232" s="343"/>
      <c r="I232" s="343"/>
      <c r="J232" s="343"/>
      <c r="K232" s="343"/>
      <c r="L232" s="343"/>
      <c r="M232" s="343">
        <f t="shared" si="102"/>
        <v>0</v>
      </c>
      <c r="N232" s="314">
        <v>-812</v>
      </c>
      <c r="O232" s="314"/>
      <c r="P232" s="314"/>
      <c r="Q232" s="314"/>
      <c r="R232" s="314"/>
      <c r="S232" s="314"/>
      <c r="T232" s="314"/>
      <c r="U232" s="314"/>
      <c r="V232" s="314"/>
      <c r="W232" s="314"/>
      <c r="X232" s="318"/>
      <c r="Y232" s="315">
        <f t="shared" si="111"/>
        <v>-812</v>
      </c>
      <c r="Z232" s="315"/>
      <c r="AA232" s="316">
        <f t="shared" si="114"/>
        <v>-812</v>
      </c>
      <c r="AB232" s="284"/>
      <c r="AC232" s="284"/>
      <c r="AD232" s="284"/>
      <c r="AE232" s="284"/>
    </row>
    <row r="233" spans="1:31" s="281" customFormat="1" ht="31.5" customHeight="1" hidden="1">
      <c r="A233" s="76"/>
      <c r="B233" s="101" t="s">
        <v>198</v>
      </c>
      <c r="C233" s="101" t="s">
        <v>199</v>
      </c>
      <c r="D233" s="101" t="s">
        <v>299</v>
      </c>
      <c r="E233" s="116" t="s">
        <v>200</v>
      </c>
      <c r="F233" s="116"/>
      <c r="G233" s="343"/>
      <c r="H233" s="343"/>
      <c r="I233" s="343"/>
      <c r="J233" s="343"/>
      <c r="K233" s="343"/>
      <c r="L233" s="343"/>
      <c r="M233" s="343">
        <f t="shared" si="102"/>
        <v>0</v>
      </c>
      <c r="N233" s="314">
        <f>N234</f>
        <v>0</v>
      </c>
      <c r="O233" s="314">
        <f aca="true" t="shared" si="116" ref="O233:X233">O234</f>
        <v>0</v>
      </c>
      <c r="P233" s="314">
        <f t="shared" si="116"/>
        <v>0</v>
      </c>
      <c r="Q233" s="314">
        <f t="shared" si="116"/>
        <v>0</v>
      </c>
      <c r="R233" s="314">
        <f t="shared" si="116"/>
        <v>0</v>
      </c>
      <c r="S233" s="314">
        <f t="shared" si="116"/>
        <v>0</v>
      </c>
      <c r="T233" s="314">
        <f t="shared" si="116"/>
        <v>0</v>
      </c>
      <c r="U233" s="314"/>
      <c r="V233" s="314">
        <f t="shared" si="116"/>
        <v>0</v>
      </c>
      <c r="W233" s="314">
        <f t="shared" si="116"/>
        <v>0</v>
      </c>
      <c r="X233" s="318">
        <f t="shared" si="116"/>
        <v>0</v>
      </c>
      <c r="Y233" s="315">
        <f t="shared" si="111"/>
        <v>0</v>
      </c>
      <c r="Z233" s="315"/>
      <c r="AA233" s="316">
        <f t="shared" si="114"/>
        <v>0</v>
      </c>
      <c r="AB233" s="284"/>
      <c r="AC233" s="284"/>
      <c r="AD233" s="284"/>
      <c r="AE233" s="284"/>
    </row>
    <row r="234" spans="1:31" s="281" customFormat="1" ht="79.5" customHeight="1" hidden="1">
      <c r="A234" s="76"/>
      <c r="B234" s="101"/>
      <c r="C234" s="101"/>
      <c r="D234" s="101"/>
      <c r="E234" s="221" t="s">
        <v>414</v>
      </c>
      <c r="F234" s="221"/>
      <c r="G234" s="343"/>
      <c r="H234" s="343"/>
      <c r="I234" s="343"/>
      <c r="J234" s="343"/>
      <c r="K234" s="343"/>
      <c r="L234" s="343"/>
      <c r="M234" s="343">
        <f t="shared" si="102"/>
        <v>0</v>
      </c>
      <c r="N234" s="314"/>
      <c r="O234" s="314"/>
      <c r="P234" s="314"/>
      <c r="Q234" s="314"/>
      <c r="R234" s="314"/>
      <c r="S234" s="314"/>
      <c r="T234" s="314"/>
      <c r="U234" s="314"/>
      <c r="V234" s="314"/>
      <c r="W234" s="314"/>
      <c r="X234" s="318"/>
      <c r="Y234" s="315">
        <f t="shared" si="111"/>
        <v>0</v>
      </c>
      <c r="Z234" s="315"/>
      <c r="AA234" s="316">
        <f t="shared" si="114"/>
        <v>0</v>
      </c>
      <c r="AB234" s="284"/>
      <c r="AC234" s="284"/>
      <c r="AD234" s="284"/>
      <c r="AE234" s="284"/>
    </row>
    <row r="235" spans="1:31" s="281" customFormat="1" ht="67.5" customHeight="1" hidden="1">
      <c r="A235" s="76"/>
      <c r="B235" s="101" t="s">
        <v>532</v>
      </c>
      <c r="C235" s="101" t="s">
        <v>533</v>
      </c>
      <c r="D235" s="101" t="s">
        <v>263</v>
      </c>
      <c r="E235" s="129" t="s">
        <v>534</v>
      </c>
      <c r="F235" s="129"/>
      <c r="G235" s="343">
        <f>G237</f>
        <v>0</v>
      </c>
      <c r="H235" s="343">
        <f aca="true" t="shared" si="117" ref="H235:M235">H237</f>
        <v>0</v>
      </c>
      <c r="I235" s="343">
        <f t="shared" si="117"/>
        <v>0</v>
      </c>
      <c r="J235" s="343">
        <f t="shared" si="117"/>
        <v>0</v>
      </c>
      <c r="K235" s="343">
        <f t="shared" si="117"/>
        <v>0</v>
      </c>
      <c r="L235" s="343">
        <f t="shared" si="117"/>
        <v>0</v>
      </c>
      <c r="M235" s="343">
        <f t="shared" si="117"/>
        <v>0</v>
      </c>
      <c r="N235" s="314">
        <f aca="true" t="shared" si="118" ref="N235:V235">SUM(N236:N237)</f>
        <v>0</v>
      </c>
      <c r="O235" s="314">
        <f t="shared" si="118"/>
        <v>0</v>
      </c>
      <c r="P235" s="314">
        <f t="shared" si="118"/>
        <v>0</v>
      </c>
      <c r="Q235" s="314">
        <f t="shared" si="118"/>
        <v>0</v>
      </c>
      <c r="R235" s="314">
        <f t="shared" si="118"/>
        <v>0</v>
      </c>
      <c r="S235" s="314">
        <f t="shared" si="118"/>
        <v>0</v>
      </c>
      <c r="T235" s="314">
        <f t="shared" si="118"/>
        <v>0</v>
      </c>
      <c r="U235" s="314">
        <f t="shared" si="118"/>
        <v>0</v>
      </c>
      <c r="V235" s="314">
        <f t="shared" si="118"/>
        <v>0</v>
      </c>
      <c r="W235" s="314">
        <f>SUM(W236:W237)</f>
        <v>0</v>
      </c>
      <c r="X235" s="314">
        <f>SUM(X236:X237)</f>
        <v>0</v>
      </c>
      <c r="Y235" s="315">
        <f t="shared" si="111"/>
        <v>0</v>
      </c>
      <c r="Z235" s="315"/>
      <c r="AA235" s="316">
        <f>M235+Y235</f>
        <v>0</v>
      </c>
      <c r="AB235" s="284"/>
      <c r="AC235" s="284"/>
      <c r="AD235" s="284"/>
      <c r="AE235" s="284"/>
    </row>
    <row r="236" spans="1:31" s="281" customFormat="1" ht="162.75" customHeight="1" hidden="1">
      <c r="A236" s="76"/>
      <c r="B236" s="101"/>
      <c r="C236" s="101"/>
      <c r="D236" s="101"/>
      <c r="E236" s="228" t="s">
        <v>678</v>
      </c>
      <c r="F236" s="129"/>
      <c r="G236" s="343"/>
      <c r="H236" s="343"/>
      <c r="I236" s="343"/>
      <c r="J236" s="343"/>
      <c r="K236" s="343"/>
      <c r="L236" s="343"/>
      <c r="M236" s="343"/>
      <c r="N236" s="314"/>
      <c r="O236" s="314"/>
      <c r="P236" s="314"/>
      <c r="Q236" s="314"/>
      <c r="R236" s="314"/>
      <c r="S236" s="314"/>
      <c r="T236" s="314"/>
      <c r="U236" s="314"/>
      <c r="V236" s="314"/>
      <c r="W236" s="314"/>
      <c r="X236" s="314"/>
      <c r="Y236" s="315">
        <f>SUM(N236:X236)</f>
        <v>0</v>
      </c>
      <c r="Z236" s="315"/>
      <c r="AA236" s="316">
        <f>M236+Y236</f>
        <v>0</v>
      </c>
      <c r="AB236" s="284"/>
      <c r="AC236" s="284"/>
      <c r="AD236" s="284"/>
      <c r="AE236" s="284"/>
    </row>
    <row r="237" spans="1:31" s="281" customFormat="1" ht="110.25" customHeight="1" hidden="1">
      <c r="A237" s="76"/>
      <c r="B237" s="107"/>
      <c r="C237" s="107"/>
      <c r="D237" s="107"/>
      <c r="E237" s="228" t="s">
        <v>765</v>
      </c>
      <c r="F237" s="228"/>
      <c r="G237" s="343"/>
      <c r="H237" s="343"/>
      <c r="I237" s="343"/>
      <c r="J237" s="343"/>
      <c r="K237" s="343"/>
      <c r="L237" s="343"/>
      <c r="M237" s="343"/>
      <c r="N237" s="314"/>
      <c r="O237" s="314"/>
      <c r="P237" s="314"/>
      <c r="Q237" s="314"/>
      <c r="R237" s="314"/>
      <c r="S237" s="314"/>
      <c r="T237" s="314"/>
      <c r="U237" s="314"/>
      <c r="V237" s="314"/>
      <c r="W237" s="314"/>
      <c r="X237" s="318"/>
      <c r="Y237" s="315">
        <f t="shared" si="111"/>
        <v>0</v>
      </c>
      <c r="Z237" s="315"/>
      <c r="AA237" s="316">
        <f>M237+Y237</f>
        <v>0</v>
      </c>
      <c r="AB237" s="284"/>
      <c r="AC237" s="284"/>
      <c r="AD237" s="284"/>
      <c r="AE237" s="284"/>
    </row>
    <row r="238" spans="1:31" s="281" customFormat="1" ht="31.5" customHeight="1">
      <c r="A238" s="136"/>
      <c r="B238" s="77"/>
      <c r="C238" s="77"/>
      <c r="D238" s="77"/>
      <c r="E238" s="233" t="s">
        <v>359</v>
      </c>
      <c r="F238" s="233"/>
      <c r="G238" s="346">
        <f>G225+G228+G230+G232+G233+G235</f>
        <v>0</v>
      </c>
      <c r="H238" s="346">
        <f aca="true" t="shared" si="119" ref="H238:M238">H225+H228+H230+H232+H233+H235</f>
        <v>0</v>
      </c>
      <c r="I238" s="346">
        <f t="shared" si="119"/>
        <v>0</v>
      </c>
      <c r="J238" s="346">
        <f t="shared" si="119"/>
        <v>0</v>
      </c>
      <c r="K238" s="346">
        <f t="shared" si="119"/>
        <v>0</v>
      </c>
      <c r="L238" s="346">
        <f t="shared" si="119"/>
        <v>0</v>
      </c>
      <c r="M238" s="346">
        <f t="shared" si="119"/>
        <v>0</v>
      </c>
      <c r="N238" s="321">
        <f>N225+N228+N230+N232+N233+N235+N226</f>
        <v>14888</v>
      </c>
      <c r="O238" s="321">
        <f aca="true" t="shared" si="120" ref="O238:AA238">O225+O228+O230+O232+O233+O235+O226</f>
        <v>0</v>
      </c>
      <c r="P238" s="321">
        <f t="shared" si="120"/>
        <v>2299170</v>
      </c>
      <c r="Q238" s="321">
        <f t="shared" si="120"/>
        <v>0</v>
      </c>
      <c r="R238" s="321">
        <f t="shared" si="120"/>
        <v>0</v>
      </c>
      <c r="S238" s="321">
        <f t="shared" si="120"/>
        <v>0</v>
      </c>
      <c r="T238" s="321">
        <f t="shared" si="120"/>
        <v>123390</v>
      </c>
      <c r="U238" s="321">
        <f t="shared" si="120"/>
        <v>0</v>
      </c>
      <c r="V238" s="321">
        <f t="shared" si="120"/>
        <v>0</v>
      </c>
      <c r="W238" s="321">
        <f t="shared" si="120"/>
        <v>0</v>
      </c>
      <c r="X238" s="321">
        <f t="shared" si="120"/>
        <v>0</v>
      </c>
      <c r="Y238" s="360">
        <f t="shared" si="120"/>
        <v>2437448</v>
      </c>
      <c r="Z238" s="360">
        <f>Z225+Z228+Z230+Z232+Z233+Z235+Z226</f>
        <v>0</v>
      </c>
      <c r="AA238" s="360">
        <f t="shared" si="120"/>
        <v>2437448</v>
      </c>
      <c r="AB238" s="284"/>
      <c r="AC238" s="284"/>
      <c r="AD238" s="284"/>
      <c r="AE238" s="284"/>
    </row>
    <row r="239" spans="1:31" s="281" customFormat="1" ht="47.25" customHeight="1" hidden="1">
      <c r="A239" s="136"/>
      <c r="B239" s="77" t="s">
        <v>105</v>
      </c>
      <c r="C239" s="77"/>
      <c r="D239" s="77"/>
      <c r="E239" s="134" t="s">
        <v>682</v>
      </c>
      <c r="F239" s="134"/>
      <c r="G239" s="343"/>
      <c r="H239" s="343"/>
      <c r="I239" s="343"/>
      <c r="J239" s="343"/>
      <c r="K239" s="343"/>
      <c r="L239" s="343"/>
      <c r="M239" s="343">
        <f t="shared" si="102"/>
        <v>0</v>
      </c>
      <c r="N239" s="318"/>
      <c r="O239" s="318"/>
      <c r="P239" s="318"/>
      <c r="Q239" s="318"/>
      <c r="R239" s="318"/>
      <c r="S239" s="318"/>
      <c r="T239" s="318"/>
      <c r="U239" s="318"/>
      <c r="V239" s="318"/>
      <c r="W239" s="318"/>
      <c r="X239" s="318"/>
      <c r="Y239" s="315"/>
      <c r="Z239" s="315"/>
      <c r="AA239" s="316"/>
      <c r="AB239" s="284"/>
      <c r="AC239" s="284"/>
      <c r="AD239" s="284"/>
      <c r="AE239" s="284"/>
    </row>
    <row r="240" spans="1:31" s="281" customFormat="1" ht="46.5" customHeight="1" hidden="1">
      <c r="A240" s="76"/>
      <c r="B240" s="93" t="s">
        <v>106</v>
      </c>
      <c r="C240" s="101"/>
      <c r="D240" s="101"/>
      <c r="E240" s="102" t="s">
        <v>748</v>
      </c>
      <c r="F240" s="102"/>
      <c r="G240" s="343"/>
      <c r="H240" s="343"/>
      <c r="I240" s="343"/>
      <c r="J240" s="343"/>
      <c r="K240" s="343"/>
      <c r="L240" s="343"/>
      <c r="M240" s="343">
        <f t="shared" si="102"/>
        <v>0</v>
      </c>
      <c r="N240" s="318"/>
      <c r="O240" s="318"/>
      <c r="P240" s="318"/>
      <c r="Q240" s="318"/>
      <c r="R240" s="318"/>
      <c r="S240" s="318"/>
      <c r="T240" s="318"/>
      <c r="U240" s="318"/>
      <c r="V240" s="318"/>
      <c r="W240" s="318"/>
      <c r="X240" s="318"/>
      <c r="Y240" s="315"/>
      <c r="Z240" s="315"/>
      <c r="AA240" s="316"/>
      <c r="AB240" s="284"/>
      <c r="AC240" s="284"/>
      <c r="AD240" s="284"/>
      <c r="AE240" s="284"/>
    </row>
    <row r="241" spans="1:31" s="281" customFormat="1" ht="60" customHeight="1" hidden="1">
      <c r="A241" s="76" t="s">
        <v>260</v>
      </c>
      <c r="B241" s="101" t="s">
        <v>107</v>
      </c>
      <c r="C241" s="101" t="s">
        <v>317</v>
      </c>
      <c r="D241" s="101" t="s">
        <v>261</v>
      </c>
      <c r="E241" s="116" t="s">
        <v>454</v>
      </c>
      <c r="F241" s="116"/>
      <c r="G241" s="343"/>
      <c r="H241" s="343"/>
      <c r="I241" s="343"/>
      <c r="J241" s="343"/>
      <c r="K241" s="343"/>
      <c r="L241" s="343"/>
      <c r="M241" s="343">
        <f t="shared" si="102"/>
        <v>0</v>
      </c>
      <c r="N241" s="318"/>
      <c r="O241" s="318"/>
      <c r="P241" s="318"/>
      <c r="Q241" s="318"/>
      <c r="R241" s="318"/>
      <c r="S241" s="318"/>
      <c r="T241" s="318"/>
      <c r="U241" s="318"/>
      <c r="V241" s="318"/>
      <c r="W241" s="318"/>
      <c r="X241" s="318"/>
      <c r="Y241" s="315">
        <f>SUM(N241:X241)</f>
        <v>0</v>
      </c>
      <c r="Z241" s="315"/>
      <c r="AA241" s="316">
        <f>M241+Y241</f>
        <v>0</v>
      </c>
      <c r="AB241" s="284"/>
      <c r="AC241" s="284"/>
      <c r="AD241" s="284"/>
      <c r="AE241" s="284"/>
    </row>
    <row r="242" spans="1:31" s="281" customFormat="1" ht="48" customHeight="1" hidden="1">
      <c r="A242" s="76"/>
      <c r="B242" s="76" t="s">
        <v>127</v>
      </c>
      <c r="C242" s="76" t="s">
        <v>425</v>
      </c>
      <c r="D242" s="76" t="s">
        <v>426</v>
      </c>
      <c r="E242" s="178" t="s">
        <v>128</v>
      </c>
      <c r="F242" s="178"/>
      <c r="G242" s="343"/>
      <c r="H242" s="343"/>
      <c r="I242" s="343"/>
      <c r="J242" s="343"/>
      <c r="K242" s="343"/>
      <c r="L242" s="343"/>
      <c r="M242" s="343">
        <f t="shared" si="102"/>
        <v>0</v>
      </c>
      <c r="N242" s="318">
        <f>N243</f>
        <v>0</v>
      </c>
      <c r="O242" s="318">
        <f aca="true" t="shared" si="121" ref="O242:W242">O243</f>
        <v>0</v>
      </c>
      <c r="P242" s="318">
        <f t="shared" si="121"/>
        <v>0</v>
      </c>
      <c r="Q242" s="318">
        <f t="shared" si="121"/>
        <v>0</v>
      </c>
      <c r="R242" s="318">
        <f t="shared" si="121"/>
        <v>0</v>
      </c>
      <c r="S242" s="318">
        <f t="shared" si="121"/>
        <v>0</v>
      </c>
      <c r="T242" s="318">
        <f t="shared" si="121"/>
        <v>0</v>
      </c>
      <c r="U242" s="318">
        <f t="shared" si="121"/>
        <v>0</v>
      </c>
      <c r="V242" s="318">
        <f t="shared" si="121"/>
        <v>0</v>
      </c>
      <c r="W242" s="318">
        <f t="shared" si="121"/>
        <v>0</v>
      </c>
      <c r="X242" s="318"/>
      <c r="Y242" s="315">
        <f>SUM(N242:X242)</f>
        <v>0</v>
      </c>
      <c r="Z242" s="315"/>
      <c r="AA242" s="316">
        <f>M242+Y242</f>
        <v>0</v>
      </c>
      <c r="AB242" s="284"/>
      <c r="AC242" s="284"/>
      <c r="AD242" s="284"/>
      <c r="AE242" s="284"/>
    </row>
    <row r="243" spans="1:31" s="281" customFormat="1" ht="6" customHeight="1" hidden="1">
      <c r="A243" s="76"/>
      <c r="B243" s="76"/>
      <c r="C243" s="76"/>
      <c r="D243" s="76"/>
      <c r="E243" s="178" t="s">
        <v>525</v>
      </c>
      <c r="F243" s="178"/>
      <c r="G243" s="343"/>
      <c r="H243" s="343"/>
      <c r="I243" s="343"/>
      <c r="J243" s="343"/>
      <c r="K243" s="343"/>
      <c r="L243" s="343"/>
      <c r="M243" s="343"/>
      <c r="N243" s="318"/>
      <c r="O243" s="318"/>
      <c r="P243" s="318"/>
      <c r="Q243" s="318"/>
      <c r="R243" s="318"/>
      <c r="S243" s="318"/>
      <c r="T243" s="318"/>
      <c r="U243" s="318"/>
      <c r="V243" s="318">
        <f>600-525-75</f>
        <v>0</v>
      </c>
      <c r="W243" s="318"/>
      <c r="X243" s="318"/>
      <c r="Y243" s="315">
        <f>SUM(N243:X243)</f>
        <v>0</v>
      </c>
      <c r="Z243" s="315"/>
      <c r="AA243" s="316">
        <f>M243+Y243</f>
        <v>0</v>
      </c>
      <c r="AB243" s="284"/>
      <c r="AC243" s="284"/>
      <c r="AD243" s="284"/>
      <c r="AE243" s="284"/>
    </row>
    <row r="244" spans="1:32" s="281" customFormat="1" ht="28.5" customHeight="1" hidden="1">
      <c r="A244" s="136"/>
      <c r="B244" s="77"/>
      <c r="C244" s="77"/>
      <c r="D244" s="77"/>
      <c r="E244" s="166" t="s">
        <v>359</v>
      </c>
      <c r="F244" s="166"/>
      <c r="G244" s="346">
        <f>G241+G242</f>
        <v>0</v>
      </c>
      <c r="H244" s="346">
        <f aca="true" t="shared" si="122" ref="H244:AA244">H241+H242</f>
        <v>0</v>
      </c>
      <c r="I244" s="346">
        <f t="shared" si="122"/>
        <v>0</v>
      </c>
      <c r="J244" s="346">
        <f t="shared" si="122"/>
        <v>0</v>
      </c>
      <c r="K244" s="346">
        <f t="shared" si="122"/>
        <v>0</v>
      </c>
      <c r="L244" s="346">
        <f t="shared" si="122"/>
        <v>0</v>
      </c>
      <c r="M244" s="346">
        <f t="shared" si="122"/>
        <v>0</v>
      </c>
      <c r="N244" s="321">
        <f t="shared" si="122"/>
        <v>0</v>
      </c>
      <c r="O244" s="321">
        <f t="shared" si="122"/>
        <v>0</v>
      </c>
      <c r="P244" s="321">
        <f t="shared" si="122"/>
        <v>0</v>
      </c>
      <c r="Q244" s="321">
        <f t="shared" si="122"/>
        <v>0</v>
      </c>
      <c r="R244" s="321">
        <f t="shared" si="122"/>
        <v>0</v>
      </c>
      <c r="S244" s="321">
        <f t="shared" si="122"/>
        <v>0</v>
      </c>
      <c r="T244" s="321">
        <f t="shared" si="122"/>
        <v>0</v>
      </c>
      <c r="U244" s="321">
        <f t="shared" si="122"/>
        <v>0</v>
      </c>
      <c r="V244" s="321">
        <f t="shared" si="122"/>
        <v>0</v>
      </c>
      <c r="W244" s="321">
        <f t="shared" si="122"/>
        <v>0</v>
      </c>
      <c r="X244" s="321">
        <f t="shared" si="122"/>
        <v>0</v>
      </c>
      <c r="Y244" s="316">
        <f t="shared" si="122"/>
        <v>0</v>
      </c>
      <c r="Z244" s="316">
        <f t="shared" si="122"/>
        <v>0</v>
      </c>
      <c r="AA244" s="316">
        <f t="shared" si="122"/>
        <v>0</v>
      </c>
      <c r="AB244" s="284"/>
      <c r="AC244" s="284"/>
      <c r="AD244" s="284"/>
      <c r="AE244" s="284"/>
      <c r="AF244" s="364"/>
    </row>
    <row r="245" spans="1:35" s="281" customFormat="1" ht="45" customHeight="1">
      <c r="A245" s="136"/>
      <c r="B245" s="77"/>
      <c r="C245" s="77"/>
      <c r="D245" s="77"/>
      <c r="E245" s="365" t="s">
        <v>413</v>
      </c>
      <c r="F245" s="347">
        <f aca="true" t="shared" si="123" ref="F245:M245">F16+F59+F97+F111+F138+F210+F222+F244+F238+F231</f>
        <v>0</v>
      </c>
      <c r="G245" s="347">
        <f t="shared" si="123"/>
        <v>-6000</v>
      </c>
      <c r="H245" s="347">
        <f t="shared" si="123"/>
        <v>0</v>
      </c>
      <c r="I245" s="347">
        <f t="shared" si="123"/>
        <v>0</v>
      </c>
      <c r="J245" s="347">
        <f t="shared" si="123"/>
        <v>0</v>
      </c>
      <c r="K245" s="347">
        <f t="shared" si="123"/>
        <v>0</v>
      </c>
      <c r="L245" s="347">
        <f t="shared" si="123"/>
        <v>0</v>
      </c>
      <c r="M245" s="347">
        <f t="shared" si="123"/>
        <v>-6000</v>
      </c>
      <c r="N245" s="366">
        <f aca="true" t="shared" si="124" ref="N245:AA245">N16+N59+N97+N111+N138+N210+N222+N244+N238</f>
        <v>322127</v>
      </c>
      <c r="O245" s="366">
        <f t="shared" si="124"/>
        <v>0</v>
      </c>
      <c r="P245" s="347">
        <f t="shared" si="124"/>
        <v>2299170</v>
      </c>
      <c r="Q245" s="347">
        <f t="shared" si="124"/>
        <v>-1241280</v>
      </c>
      <c r="R245" s="347">
        <f t="shared" si="124"/>
        <v>-5157992</v>
      </c>
      <c r="S245" s="347">
        <f t="shared" si="124"/>
        <v>0</v>
      </c>
      <c r="T245" s="347">
        <f t="shared" si="124"/>
        <v>-3548514</v>
      </c>
      <c r="U245" s="347">
        <f t="shared" si="124"/>
        <v>-264000</v>
      </c>
      <c r="V245" s="347">
        <f t="shared" si="124"/>
        <v>2178182.6</v>
      </c>
      <c r="W245" s="347">
        <f t="shared" si="124"/>
        <v>0</v>
      </c>
      <c r="X245" s="366">
        <f t="shared" si="124"/>
        <v>0</v>
      </c>
      <c r="Y245" s="333">
        <f t="shared" si="124"/>
        <v>-5412306.4</v>
      </c>
      <c r="Z245" s="333" t="e">
        <f t="shared" si="124"/>
        <v>#REF!</v>
      </c>
      <c r="AA245" s="333">
        <f t="shared" si="124"/>
        <v>-5418306.4</v>
      </c>
      <c r="AB245" s="115"/>
      <c r="AC245" s="115"/>
      <c r="AD245" s="115"/>
      <c r="AE245" s="361"/>
      <c r="AF245" s="303"/>
      <c r="AG245" s="367"/>
      <c r="AH245" s="367"/>
      <c r="AI245" s="367"/>
    </row>
    <row r="246" spans="3:35" s="281" customFormat="1" ht="21">
      <c r="C246" s="368"/>
      <c r="D246" s="368"/>
      <c r="E246" s="348"/>
      <c r="F246" s="348"/>
      <c r="M246" s="369"/>
      <c r="N246" s="323"/>
      <c r="O246" s="323"/>
      <c r="P246" s="323"/>
      <c r="Q246" s="323"/>
      <c r="R246" s="323"/>
      <c r="S246" s="323"/>
      <c r="T246" s="323"/>
      <c r="U246" s="323"/>
      <c r="V246" s="323"/>
      <c r="W246" s="323"/>
      <c r="X246" s="323"/>
      <c r="Y246" s="370"/>
      <c r="Z246" s="370"/>
      <c r="AA246" s="371"/>
      <c r="AB246" s="284"/>
      <c r="AC246" s="284"/>
      <c r="AD246" s="284"/>
      <c r="AE246" s="284"/>
      <c r="AI246" s="367"/>
    </row>
    <row r="247" spans="3:31" s="281" customFormat="1" ht="21" hidden="1">
      <c r="C247" s="368"/>
      <c r="D247" s="368"/>
      <c r="E247" s="348"/>
      <c r="F247" s="348"/>
      <c r="M247" s="369"/>
      <c r="N247" s="323"/>
      <c r="O247" s="323"/>
      <c r="P247" s="323"/>
      <c r="Q247" s="323"/>
      <c r="R247" s="323"/>
      <c r="S247" s="323"/>
      <c r="T247" s="323"/>
      <c r="U247" s="323"/>
      <c r="V247" s="323"/>
      <c r="W247" s="323"/>
      <c r="X247" s="323"/>
      <c r="Y247" s="370"/>
      <c r="Z247" s="370"/>
      <c r="AA247" s="371"/>
      <c r="AB247" s="284"/>
      <c r="AC247" s="284"/>
      <c r="AD247" s="284"/>
      <c r="AE247" s="284"/>
    </row>
    <row r="248" spans="2:27" s="281" customFormat="1" ht="63.75" customHeight="1">
      <c r="B248" s="372" t="s">
        <v>421</v>
      </c>
      <c r="C248" s="372"/>
      <c r="D248" s="368"/>
      <c r="E248" s="348"/>
      <c r="F248" s="348"/>
      <c r="M248" s="369"/>
      <c r="N248" s="323"/>
      <c r="O248" s="323"/>
      <c r="P248" s="323"/>
      <c r="Q248" s="323"/>
      <c r="R248" s="323"/>
      <c r="S248" s="373"/>
      <c r="T248" s="373"/>
      <c r="U248" s="373"/>
      <c r="V248" s="374" t="s">
        <v>422</v>
      </c>
      <c r="W248" s="373"/>
      <c r="X248" s="373"/>
      <c r="Y248" s="373"/>
      <c r="Z248" s="370"/>
      <c r="AA248" s="375"/>
    </row>
    <row r="249" spans="2:32" s="293" customFormat="1" ht="24.75">
      <c r="B249" s="372"/>
      <c r="C249" s="372"/>
      <c r="D249" s="376"/>
      <c r="E249" s="377"/>
      <c r="F249" s="377"/>
      <c r="M249" s="378"/>
      <c r="N249" s="379"/>
      <c r="O249" s="379"/>
      <c r="P249" s="379"/>
      <c r="Q249" s="379"/>
      <c r="R249" s="379"/>
      <c r="S249" s="380"/>
      <c r="T249" s="380"/>
      <c r="U249" s="380"/>
      <c r="V249" s="380"/>
      <c r="W249" s="380"/>
      <c r="X249" s="380"/>
      <c r="Y249" s="380"/>
      <c r="Z249" s="381"/>
      <c r="AA249" s="310"/>
      <c r="AB249" s="311"/>
      <c r="AC249" s="311"/>
      <c r="AD249" s="311"/>
      <c r="AE249" s="311"/>
      <c r="AF249" s="382"/>
    </row>
    <row r="250" spans="2:32" s="293" customFormat="1" ht="24.75">
      <c r="B250" s="372"/>
      <c r="C250" s="372"/>
      <c r="D250" s="376"/>
      <c r="E250" s="377"/>
      <c r="F250" s="377"/>
      <c r="M250" s="378"/>
      <c r="N250" s="379"/>
      <c r="O250" s="379"/>
      <c r="P250" s="379"/>
      <c r="Q250" s="379"/>
      <c r="R250" s="379"/>
      <c r="S250" s="380"/>
      <c r="T250" s="380"/>
      <c r="U250" s="380"/>
      <c r="V250" s="380"/>
      <c r="W250" s="380"/>
      <c r="X250" s="380"/>
      <c r="Y250" s="380"/>
      <c r="Z250" s="381"/>
      <c r="AA250" s="383"/>
      <c r="AB250" s="306"/>
      <c r="AC250" s="306"/>
      <c r="AD250" s="306"/>
      <c r="AE250" s="306"/>
      <c r="AF250" s="382"/>
    </row>
    <row r="251" spans="2:32" s="293" customFormat="1" ht="24.75">
      <c r="B251" s="372"/>
      <c r="C251" s="372"/>
      <c r="D251" s="376"/>
      <c r="E251" s="377"/>
      <c r="F251" s="377"/>
      <c r="M251" s="378"/>
      <c r="N251" s="379"/>
      <c r="O251" s="379"/>
      <c r="P251" s="379"/>
      <c r="Q251" s="379"/>
      <c r="R251" s="379"/>
      <c r="S251" s="380"/>
      <c r="T251" s="380"/>
      <c r="U251" s="380"/>
      <c r="V251" s="380"/>
      <c r="W251" s="380"/>
      <c r="X251" s="380"/>
      <c r="Y251" s="150"/>
      <c r="Z251" s="150"/>
      <c r="AA251" s="259"/>
      <c r="AB251" s="259"/>
      <c r="AC251" s="259"/>
      <c r="AD251" s="296"/>
      <c r="AE251" s="384"/>
      <c r="AF251" s="385"/>
    </row>
    <row r="252" spans="2:35" s="293" customFormat="1" ht="24.75">
      <c r="B252" s="372"/>
      <c r="C252" s="372"/>
      <c r="D252" s="376"/>
      <c r="E252" s="377"/>
      <c r="F252" s="377"/>
      <c r="M252" s="378"/>
      <c r="N252" s="379"/>
      <c r="O252" s="379"/>
      <c r="P252" s="379"/>
      <c r="Q252" s="379"/>
      <c r="R252" s="379"/>
      <c r="S252" s="380"/>
      <c r="T252" s="380"/>
      <c r="U252" s="380"/>
      <c r="V252" s="230"/>
      <c r="W252" s="230"/>
      <c r="X252" s="230"/>
      <c r="Y252" s="386"/>
      <c r="Z252" s="386"/>
      <c r="AA252" s="386"/>
      <c r="AB252" s="387"/>
      <c r="AC252" s="387"/>
      <c r="AD252" s="387"/>
      <c r="AE252" s="387"/>
      <c r="AF252" s="253"/>
      <c r="AG252" s="388"/>
      <c r="AH252" s="388"/>
      <c r="AI252" s="388"/>
    </row>
    <row r="253" spans="3:33" s="293" customFormat="1" ht="21">
      <c r="C253" s="376"/>
      <c r="D253" s="376"/>
      <c r="E253" s="377"/>
      <c r="F253" s="377"/>
      <c r="H253" s="389"/>
      <c r="I253" s="386"/>
      <c r="J253" s="390"/>
      <c r="K253" s="390"/>
      <c r="L253" s="150"/>
      <c r="M253" s="378"/>
      <c r="N253" s="379"/>
      <c r="O253" s="379"/>
      <c r="P253" s="379"/>
      <c r="Q253" s="379"/>
      <c r="R253" s="379"/>
      <c r="S253" s="391"/>
      <c r="U253" s="379"/>
      <c r="V253" s="150"/>
      <c r="W253" s="150"/>
      <c r="X253" s="150"/>
      <c r="Y253" s="392"/>
      <c r="Z253" s="150"/>
      <c r="AA253" s="266"/>
      <c r="AB253" s="269"/>
      <c r="AC253" s="269"/>
      <c r="AD253" s="269"/>
      <c r="AE253" s="269"/>
      <c r="AF253" s="393"/>
      <c r="AG253" s="388"/>
    </row>
    <row r="254" spans="3:33" s="293" customFormat="1" ht="27" customHeight="1">
      <c r="C254" s="376"/>
      <c r="D254" s="376"/>
      <c r="E254" s="377"/>
      <c r="F254" s="377"/>
      <c r="M254" s="378"/>
      <c r="N254" s="379"/>
      <c r="O254" s="379"/>
      <c r="P254" s="379"/>
      <c r="Q254" s="379"/>
      <c r="R254" s="379"/>
      <c r="S254" s="391"/>
      <c r="U254" s="379"/>
      <c r="V254" s="150"/>
      <c r="W254" s="150"/>
      <c r="X254" s="150"/>
      <c r="Y254" s="392"/>
      <c r="Z254" s="150"/>
      <c r="AA254" s="266"/>
      <c r="AB254" s="269"/>
      <c r="AC254" s="269"/>
      <c r="AD254" s="269"/>
      <c r="AE254" s="269"/>
      <c r="AF254" s="393"/>
      <c r="AG254" s="388"/>
    </row>
    <row r="255" spans="3:33" s="293" customFormat="1" ht="21">
      <c r="C255" s="376"/>
      <c r="D255" s="376"/>
      <c r="E255" s="377"/>
      <c r="F255" s="377"/>
      <c r="M255" s="378"/>
      <c r="N255" s="379"/>
      <c r="O255" s="379"/>
      <c r="P255" s="379"/>
      <c r="Q255" s="379"/>
      <c r="R255" s="379"/>
      <c r="S255" s="391"/>
      <c r="U255" s="379"/>
      <c r="V255" s="150"/>
      <c r="W255" s="150"/>
      <c r="X255" s="150"/>
      <c r="Y255" s="392"/>
      <c r="Z255" s="150"/>
      <c r="AA255" s="266"/>
      <c r="AB255" s="269"/>
      <c r="AC255" s="269"/>
      <c r="AD255" s="269"/>
      <c r="AE255" s="269"/>
      <c r="AF255" s="393"/>
      <c r="AG255" s="388"/>
    </row>
    <row r="256" spans="3:33" s="293" customFormat="1" ht="21">
      <c r="C256" s="376"/>
      <c r="D256" s="376"/>
      <c r="E256" s="377"/>
      <c r="F256" s="377"/>
      <c r="M256" s="378"/>
      <c r="N256" s="379"/>
      <c r="O256" s="379"/>
      <c r="P256" s="379"/>
      <c r="Q256" s="379"/>
      <c r="R256" s="379"/>
      <c r="S256" s="391"/>
      <c r="U256" s="379"/>
      <c r="V256" s="150"/>
      <c r="W256" s="150"/>
      <c r="X256" s="150"/>
      <c r="Y256" s="392"/>
      <c r="Z256" s="150"/>
      <c r="AA256" s="266"/>
      <c r="AB256" s="269"/>
      <c r="AC256" s="269"/>
      <c r="AD256" s="269"/>
      <c r="AE256" s="269"/>
      <c r="AF256" s="388"/>
      <c r="AG256" s="388"/>
    </row>
    <row r="257" spans="3:33" s="293" customFormat="1" ht="21">
      <c r="C257" s="376"/>
      <c r="D257" s="376"/>
      <c r="E257" s="377"/>
      <c r="F257" s="377"/>
      <c r="M257" s="378"/>
      <c r="N257" s="379"/>
      <c r="O257" s="379"/>
      <c r="P257" s="379"/>
      <c r="Q257" s="379"/>
      <c r="R257" s="379"/>
      <c r="S257" s="391"/>
      <c r="U257" s="379"/>
      <c r="V257" s="150"/>
      <c r="W257" s="150"/>
      <c r="X257" s="150"/>
      <c r="Y257" s="392"/>
      <c r="Z257" s="150"/>
      <c r="AA257" s="266"/>
      <c r="AB257" s="269"/>
      <c r="AC257" s="269"/>
      <c r="AD257" s="269"/>
      <c r="AE257" s="269"/>
      <c r="AF257" s="388"/>
      <c r="AG257" s="388"/>
    </row>
    <row r="258" spans="3:33" s="293" customFormat="1" ht="21">
      <c r="C258" s="376"/>
      <c r="D258" s="376"/>
      <c r="E258" s="377"/>
      <c r="F258" s="377"/>
      <c r="M258" s="378"/>
      <c r="N258" s="379"/>
      <c r="O258" s="379"/>
      <c r="P258" s="379"/>
      <c r="Q258" s="379"/>
      <c r="R258" s="379"/>
      <c r="S258" s="391"/>
      <c r="U258" s="379"/>
      <c r="V258" s="150"/>
      <c r="W258" s="150"/>
      <c r="X258" s="150"/>
      <c r="Y258" s="392"/>
      <c r="Z258" s="150"/>
      <c r="AA258" s="266"/>
      <c r="AB258" s="269"/>
      <c r="AC258" s="269"/>
      <c r="AD258" s="269"/>
      <c r="AE258" s="269"/>
      <c r="AF258" s="388"/>
      <c r="AG258" s="388"/>
    </row>
    <row r="259" spans="3:33" s="293" customFormat="1" ht="21">
      <c r="C259" s="376"/>
      <c r="D259" s="376"/>
      <c r="E259" s="377"/>
      <c r="F259" s="377"/>
      <c r="M259" s="378"/>
      <c r="N259" s="379"/>
      <c r="O259" s="379"/>
      <c r="P259" s="379"/>
      <c r="Q259" s="379"/>
      <c r="R259" s="379"/>
      <c r="S259" s="391"/>
      <c r="U259" s="379"/>
      <c r="V259" s="150"/>
      <c r="W259" s="150"/>
      <c r="X259" s="150"/>
      <c r="Y259" s="392"/>
      <c r="Z259" s="150"/>
      <c r="AA259" s="269"/>
      <c r="AB259" s="269"/>
      <c r="AC259" s="269"/>
      <c r="AD259" s="269"/>
      <c r="AE259" s="269"/>
      <c r="AF259" s="388"/>
      <c r="AG259" s="388"/>
    </row>
    <row r="260" spans="3:32" s="293" customFormat="1" ht="21">
      <c r="C260" s="376"/>
      <c r="D260" s="376"/>
      <c r="E260" s="377"/>
      <c r="F260" s="377"/>
      <c r="M260" s="378"/>
      <c r="N260" s="379"/>
      <c r="O260" s="379"/>
      <c r="P260" s="379"/>
      <c r="Q260" s="379"/>
      <c r="R260" s="379"/>
      <c r="S260" s="391"/>
      <c r="U260" s="379"/>
      <c r="V260" s="150"/>
      <c r="W260" s="150"/>
      <c r="X260" s="150"/>
      <c r="Y260" s="392"/>
      <c r="Z260" s="150"/>
      <c r="AA260" s="269"/>
      <c r="AB260" s="269"/>
      <c r="AC260" s="269"/>
      <c r="AD260" s="269"/>
      <c r="AE260" s="269"/>
      <c r="AF260" s="388"/>
    </row>
    <row r="261" spans="3:32" s="293" customFormat="1" ht="21">
      <c r="C261" s="376"/>
      <c r="D261" s="376"/>
      <c r="E261" s="377"/>
      <c r="F261" s="377"/>
      <c r="M261" s="378"/>
      <c r="N261" s="379"/>
      <c r="O261" s="379"/>
      <c r="P261" s="379"/>
      <c r="Q261" s="379"/>
      <c r="R261" s="379"/>
      <c r="S261" s="391"/>
      <c r="U261" s="379"/>
      <c r="V261" s="150"/>
      <c r="W261" s="150"/>
      <c r="X261" s="150"/>
      <c r="Y261" s="392"/>
      <c r="Z261" s="150"/>
      <c r="AA261" s="269"/>
      <c r="AB261" s="394"/>
      <c r="AC261" s="394"/>
      <c r="AD261" s="394"/>
      <c r="AE261" s="269"/>
      <c r="AF261" s="388"/>
    </row>
    <row r="262" spans="3:34" s="293" customFormat="1" ht="21">
      <c r="C262" s="376"/>
      <c r="D262" s="376"/>
      <c r="E262" s="377"/>
      <c r="F262" s="377"/>
      <c r="M262" s="378"/>
      <c r="N262" s="379"/>
      <c r="O262" s="379"/>
      <c r="P262" s="379"/>
      <c r="Q262" s="379"/>
      <c r="R262" s="379"/>
      <c r="S262" s="379"/>
      <c r="T262" s="379"/>
      <c r="U262" s="379"/>
      <c r="V262" s="381"/>
      <c r="W262" s="381"/>
      <c r="X262" s="381"/>
      <c r="Y262" s="381"/>
      <c r="Z262" s="381"/>
      <c r="AA262" s="395"/>
      <c r="AB262" s="396"/>
      <c r="AC262" s="396"/>
      <c r="AD262" s="396"/>
      <c r="AE262" s="396"/>
      <c r="AF262" s="382"/>
      <c r="AG262" s="397"/>
      <c r="AH262" s="397"/>
    </row>
    <row r="263" spans="3:32" s="293" customFormat="1" ht="21">
      <c r="C263" s="376"/>
      <c r="D263" s="376"/>
      <c r="E263" s="377"/>
      <c r="F263" s="377"/>
      <c r="M263" s="378"/>
      <c r="N263" s="379"/>
      <c r="O263" s="379"/>
      <c r="P263" s="379"/>
      <c r="Q263" s="379"/>
      <c r="R263" s="379"/>
      <c r="S263" s="379"/>
      <c r="T263" s="379"/>
      <c r="U263" s="379"/>
      <c r="V263" s="379"/>
      <c r="W263" s="379"/>
      <c r="X263" s="379"/>
      <c r="Y263" s="381"/>
      <c r="Z263" s="381"/>
      <c r="AA263" s="395"/>
      <c r="AB263" s="396"/>
      <c r="AC263" s="396"/>
      <c r="AD263" s="396"/>
      <c r="AE263" s="396"/>
      <c r="AF263" s="398"/>
    </row>
    <row r="264" spans="3:32" s="293" customFormat="1" ht="21">
      <c r="C264" s="376"/>
      <c r="D264" s="376"/>
      <c r="E264" s="377"/>
      <c r="F264" s="377"/>
      <c r="M264" s="378"/>
      <c r="N264" s="379"/>
      <c r="O264" s="379"/>
      <c r="P264" s="379"/>
      <c r="Q264" s="379"/>
      <c r="R264" s="379"/>
      <c r="S264" s="379"/>
      <c r="T264" s="379"/>
      <c r="U264" s="379"/>
      <c r="V264" s="379"/>
      <c r="W264" s="379"/>
      <c r="X264" s="379"/>
      <c r="Y264" s="381"/>
      <c r="Z264" s="381"/>
      <c r="AA264" s="395"/>
      <c r="AB264" s="296"/>
      <c r="AC264" s="296"/>
      <c r="AD264" s="296"/>
      <c r="AE264" s="296"/>
      <c r="AF264" s="398"/>
    </row>
    <row r="265" spans="3:33" s="293" customFormat="1" ht="21">
      <c r="C265" s="376"/>
      <c r="D265" s="376"/>
      <c r="E265" s="377"/>
      <c r="F265" s="377"/>
      <c r="M265" s="378"/>
      <c r="N265" s="379"/>
      <c r="O265" s="379"/>
      <c r="P265" s="379"/>
      <c r="Q265" s="379"/>
      <c r="R265" s="379"/>
      <c r="S265" s="379"/>
      <c r="T265" s="379"/>
      <c r="U265" s="379"/>
      <c r="V265" s="379"/>
      <c r="W265" s="379"/>
      <c r="X265" s="379"/>
      <c r="Y265" s="381"/>
      <c r="Z265" s="381"/>
      <c r="AA265" s="395"/>
      <c r="AB265" s="296"/>
      <c r="AC265" s="296"/>
      <c r="AD265" s="296"/>
      <c r="AE265" s="296"/>
      <c r="AF265" s="382"/>
      <c r="AG265" s="382"/>
    </row>
    <row r="266" spans="3:32" s="281" customFormat="1" ht="21">
      <c r="C266" s="368"/>
      <c r="D266" s="368"/>
      <c r="E266" s="348"/>
      <c r="F266" s="348"/>
      <c r="M266" s="369"/>
      <c r="N266" s="323"/>
      <c r="O266" s="323"/>
      <c r="P266" s="323"/>
      <c r="Q266" s="323"/>
      <c r="R266" s="323"/>
      <c r="S266" s="323"/>
      <c r="T266" s="323"/>
      <c r="U266" s="323"/>
      <c r="V266" s="323"/>
      <c r="W266" s="323"/>
      <c r="X266" s="379"/>
      <c r="Y266" s="378"/>
      <c r="Z266" s="293"/>
      <c r="AA266" s="399"/>
      <c r="AB266" s="322"/>
      <c r="AC266" s="322"/>
      <c r="AD266" s="322"/>
      <c r="AE266" s="322"/>
      <c r="AF266" s="303"/>
    </row>
    <row r="267" spans="3:32" s="281" customFormat="1" ht="21">
      <c r="C267" s="368"/>
      <c r="D267" s="368"/>
      <c r="E267" s="348"/>
      <c r="F267" s="348"/>
      <c r="M267" s="369"/>
      <c r="N267" s="323"/>
      <c r="O267" s="323"/>
      <c r="P267" s="323"/>
      <c r="Q267" s="323"/>
      <c r="R267" s="323"/>
      <c r="S267" s="323"/>
      <c r="T267" s="323"/>
      <c r="U267" s="323"/>
      <c r="V267" s="323"/>
      <c r="W267" s="323"/>
      <c r="X267" s="379"/>
      <c r="Y267" s="378"/>
      <c r="Z267" s="293"/>
      <c r="AA267" s="399"/>
      <c r="AB267" s="322"/>
      <c r="AC267" s="322"/>
      <c r="AD267" s="322"/>
      <c r="AE267" s="322"/>
      <c r="AF267" s="304"/>
    </row>
    <row r="268" spans="3:31" s="281" customFormat="1" ht="21">
      <c r="C268" s="368"/>
      <c r="D268" s="368"/>
      <c r="E268" s="348"/>
      <c r="F268" s="348"/>
      <c r="M268" s="369"/>
      <c r="N268" s="323"/>
      <c r="O268" s="323"/>
      <c r="P268" s="323"/>
      <c r="Q268" s="323"/>
      <c r="R268" s="323"/>
      <c r="S268" s="323"/>
      <c r="T268" s="323"/>
      <c r="U268" s="323"/>
      <c r="V268" s="323"/>
      <c r="W268" s="323"/>
      <c r="X268" s="379"/>
      <c r="Y268" s="400"/>
      <c r="Z268" s="381"/>
      <c r="AA268" s="395"/>
      <c r="AB268" s="284"/>
      <c r="AC268" s="284"/>
      <c r="AD268" s="284"/>
      <c r="AE268" s="284"/>
    </row>
    <row r="269" spans="3:31" s="281" customFormat="1" ht="21">
      <c r="C269" s="368"/>
      <c r="D269" s="368"/>
      <c r="E269" s="348"/>
      <c r="F269" s="348"/>
      <c r="M269" s="369"/>
      <c r="N269" s="323"/>
      <c r="O269" s="323"/>
      <c r="P269" s="323"/>
      <c r="Q269" s="323"/>
      <c r="R269" s="323"/>
      <c r="S269" s="323"/>
      <c r="T269" s="323"/>
      <c r="U269" s="323"/>
      <c r="V269" s="323"/>
      <c r="W269" s="323"/>
      <c r="X269" s="379"/>
      <c r="Y269" s="381"/>
      <c r="Z269" s="381"/>
      <c r="AA269" s="395"/>
      <c r="AB269" s="284"/>
      <c r="AC269" s="284"/>
      <c r="AD269" s="284"/>
      <c r="AE269" s="284"/>
    </row>
    <row r="270" spans="3:31" s="281" customFormat="1" ht="21">
      <c r="C270" s="368"/>
      <c r="D270" s="368"/>
      <c r="E270" s="348"/>
      <c r="F270" s="348"/>
      <c r="M270" s="369"/>
      <c r="N270" s="323"/>
      <c r="O270" s="323"/>
      <c r="P270" s="323"/>
      <c r="Q270" s="323"/>
      <c r="R270" s="323"/>
      <c r="S270" s="323"/>
      <c r="T270" s="323"/>
      <c r="U270" s="323"/>
      <c r="V270" s="323"/>
      <c r="W270" s="323"/>
      <c r="X270" s="379"/>
      <c r="Y270" s="381"/>
      <c r="Z270" s="381"/>
      <c r="AA270" s="395"/>
      <c r="AB270" s="284"/>
      <c r="AC270" s="284"/>
      <c r="AD270" s="284"/>
      <c r="AE270" s="284"/>
    </row>
    <row r="271" spans="3:31" s="281" customFormat="1" ht="21">
      <c r="C271" s="368"/>
      <c r="D271" s="368"/>
      <c r="E271" s="348"/>
      <c r="F271" s="348"/>
      <c r="M271" s="369"/>
      <c r="N271" s="323"/>
      <c r="O271" s="323"/>
      <c r="P271" s="323"/>
      <c r="Q271" s="323"/>
      <c r="R271" s="323"/>
      <c r="S271" s="323"/>
      <c r="T271" s="323"/>
      <c r="U271" s="323"/>
      <c r="V271" s="323"/>
      <c r="W271" s="323"/>
      <c r="X271" s="323"/>
      <c r="Y271" s="370"/>
      <c r="Z271" s="370"/>
      <c r="AA271" s="401"/>
      <c r="AB271" s="284"/>
      <c r="AC271" s="284"/>
      <c r="AD271" s="284"/>
      <c r="AE271" s="284"/>
    </row>
    <row r="272" spans="3:31" s="281" customFormat="1" ht="21">
      <c r="C272" s="368"/>
      <c r="D272" s="368"/>
      <c r="E272" s="348"/>
      <c r="F272" s="348"/>
      <c r="M272" s="369"/>
      <c r="N272" s="323"/>
      <c r="O272" s="323"/>
      <c r="P272" s="323"/>
      <c r="Q272" s="323"/>
      <c r="R272" s="323"/>
      <c r="S272" s="323"/>
      <c r="T272" s="323"/>
      <c r="U272" s="323"/>
      <c r="V272" s="323"/>
      <c r="W272" s="323"/>
      <c r="X272" s="323"/>
      <c r="Y272" s="370"/>
      <c r="Z272" s="370"/>
      <c r="AA272" s="86"/>
      <c r="AB272" s="115"/>
      <c r="AC272" s="115"/>
      <c r="AD272" s="115"/>
      <c r="AE272" s="115"/>
    </row>
    <row r="273" spans="3:31" s="281" customFormat="1" ht="21">
      <c r="C273" s="368"/>
      <c r="D273" s="368"/>
      <c r="E273" s="348"/>
      <c r="F273" s="348"/>
      <c r="M273" s="369"/>
      <c r="N273" s="323"/>
      <c r="O273" s="323"/>
      <c r="P273" s="323"/>
      <c r="Q273" s="323"/>
      <c r="R273" s="323"/>
      <c r="S273" s="323"/>
      <c r="T273" s="323"/>
      <c r="U273" s="323"/>
      <c r="V273" s="323"/>
      <c r="W273" s="323"/>
      <c r="X273" s="323"/>
      <c r="Y273" s="370"/>
      <c r="Z273" s="370"/>
      <c r="AA273" s="307"/>
      <c r="AB273" s="284"/>
      <c r="AC273" s="284"/>
      <c r="AD273" s="284"/>
      <c r="AE273" s="284"/>
    </row>
    <row r="274" spans="3:31" s="281" customFormat="1" ht="21">
      <c r="C274" s="368"/>
      <c r="D274" s="368"/>
      <c r="E274" s="348"/>
      <c r="F274" s="348"/>
      <c r="M274" s="369"/>
      <c r="N274" s="323"/>
      <c r="O274" s="323"/>
      <c r="P274" s="323"/>
      <c r="Q274" s="323"/>
      <c r="R274" s="402"/>
      <c r="S274" s="323"/>
      <c r="T274" s="323"/>
      <c r="U274" s="323"/>
      <c r="V274" s="323"/>
      <c r="W274" s="323"/>
      <c r="X274" s="323"/>
      <c r="Y274" s="370"/>
      <c r="Z274" s="370"/>
      <c r="AA274" s="371"/>
      <c r="AB274" s="284"/>
      <c r="AC274" s="284"/>
      <c r="AD274" s="284"/>
      <c r="AE274" s="284"/>
    </row>
    <row r="278" spans="3:32" s="281" customFormat="1" ht="21">
      <c r="C278" s="368"/>
      <c r="D278" s="368"/>
      <c r="E278" s="348"/>
      <c r="F278" s="348"/>
      <c r="M278" s="369"/>
      <c r="N278" s="323"/>
      <c r="O278" s="323"/>
      <c r="P278" s="323"/>
      <c r="Q278" s="323"/>
      <c r="R278" s="323"/>
      <c r="S278" s="323"/>
      <c r="T278" s="323"/>
      <c r="U278" s="323"/>
      <c r="V278" s="323"/>
      <c r="W278" s="323"/>
      <c r="X278" s="323"/>
      <c r="Y278" s="370"/>
      <c r="Z278" s="370"/>
      <c r="AA278" s="371"/>
      <c r="AB278" s="115"/>
      <c r="AC278" s="115"/>
      <c r="AD278" s="115"/>
      <c r="AE278" s="115"/>
      <c r="AF278" s="304"/>
    </row>
    <row r="279" spans="3:32" s="281" customFormat="1" ht="21">
      <c r="C279" s="368"/>
      <c r="D279" s="368"/>
      <c r="E279" s="348"/>
      <c r="F279" s="348"/>
      <c r="M279" s="369"/>
      <c r="N279" s="323"/>
      <c r="O279" s="323"/>
      <c r="P279" s="323"/>
      <c r="Q279" s="323"/>
      <c r="R279" s="323"/>
      <c r="S279" s="323"/>
      <c r="T279" s="323"/>
      <c r="U279" s="323"/>
      <c r="V279" s="323"/>
      <c r="W279" s="403"/>
      <c r="X279" s="323"/>
      <c r="Y279" s="370"/>
      <c r="Z279" s="370"/>
      <c r="AA279" s="86"/>
      <c r="AB279" s="404"/>
      <c r="AC279" s="404"/>
      <c r="AD279" s="404"/>
      <c r="AE279" s="404"/>
      <c r="AF279" s="312"/>
    </row>
    <row r="280" spans="3:32" s="281" customFormat="1" ht="21">
      <c r="C280" s="368"/>
      <c r="D280" s="368"/>
      <c r="E280" s="348"/>
      <c r="F280" s="348"/>
      <c r="M280" s="369"/>
      <c r="N280" s="323"/>
      <c r="O280" s="323"/>
      <c r="P280" s="323"/>
      <c r="Q280" s="323"/>
      <c r="R280" s="323"/>
      <c r="S280" s="323"/>
      <c r="T280" s="323"/>
      <c r="U280" s="323"/>
      <c r="V280" s="323"/>
      <c r="W280" s="323"/>
      <c r="X280" s="323"/>
      <c r="Y280" s="370"/>
      <c r="Z280" s="370"/>
      <c r="AA280" s="371"/>
      <c r="AB280" s="115"/>
      <c r="AC280" s="115"/>
      <c r="AD280" s="115"/>
      <c r="AE280" s="115"/>
      <c r="AF280" s="304"/>
    </row>
    <row r="281" spans="3:32" s="281" customFormat="1" ht="21">
      <c r="C281" s="368"/>
      <c r="D281" s="368"/>
      <c r="E281" s="348"/>
      <c r="F281" s="348"/>
      <c r="M281" s="369"/>
      <c r="N281" s="367"/>
      <c r="O281" s="323"/>
      <c r="P281" s="402"/>
      <c r="Q281" s="405"/>
      <c r="R281" s="402"/>
      <c r="S281" s="323"/>
      <c r="T281" s="323"/>
      <c r="U281" s="323"/>
      <c r="V281" s="323"/>
      <c r="W281" s="323"/>
      <c r="X281" s="323"/>
      <c r="Y281" s="370"/>
      <c r="Z281" s="370"/>
      <c r="AA281" s="371"/>
      <c r="AB281" s="406"/>
      <c r="AC281" s="406"/>
      <c r="AD281" s="406"/>
      <c r="AE281" s="406"/>
      <c r="AF281" s="367"/>
    </row>
    <row r="283" spans="3:32" s="281" customFormat="1" ht="21">
      <c r="C283" s="368"/>
      <c r="D283" s="368"/>
      <c r="E283" s="348"/>
      <c r="F283" s="348"/>
      <c r="M283" s="369"/>
      <c r="N283" s="323"/>
      <c r="O283" s="323"/>
      <c r="P283" s="323"/>
      <c r="Q283" s="323"/>
      <c r="R283" s="323"/>
      <c r="S283" s="323"/>
      <c r="T283" s="323"/>
      <c r="U283" s="323"/>
      <c r="V283" s="323"/>
      <c r="W283" s="323"/>
      <c r="X283" s="323"/>
      <c r="Y283" s="370"/>
      <c r="Z283" s="370"/>
      <c r="AA283" s="371"/>
      <c r="AB283" s="284"/>
      <c r="AC283" s="284"/>
      <c r="AD283" s="284"/>
      <c r="AE283" s="284"/>
      <c r="AF283" s="367"/>
    </row>
    <row r="287" spans="3:31" s="281" customFormat="1" ht="21">
      <c r="C287" s="368"/>
      <c r="D287" s="368"/>
      <c r="E287" s="348"/>
      <c r="F287" s="348"/>
      <c r="M287" s="369"/>
      <c r="N287" s="367"/>
      <c r="O287" s="323"/>
      <c r="P287" s="323"/>
      <c r="Q287" s="402"/>
      <c r="R287" s="402"/>
      <c r="S287" s="323"/>
      <c r="T287" s="323"/>
      <c r="U287" s="323"/>
      <c r="V287" s="323"/>
      <c r="W287" s="323"/>
      <c r="X287" s="323"/>
      <c r="Y287" s="370"/>
      <c r="Z287" s="370"/>
      <c r="AA287" s="371"/>
      <c r="AB287" s="284"/>
      <c r="AC287" s="284"/>
      <c r="AD287" s="284"/>
      <c r="AE287" s="284"/>
    </row>
  </sheetData>
  <sheetProtection/>
  <mergeCells count="25">
    <mergeCell ref="F2:F3"/>
    <mergeCell ref="B1:B4"/>
    <mergeCell ref="C1:C4"/>
    <mergeCell ref="D1:D4"/>
    <mergeCell ref="E1:AA1"/>
    <mergeCell ref="E3:E4"/>
    <mergeCell ref="S2:S3"/>
    <mergeCell ref="M2:M3"/>
    <mergeCell ref="U2:U3"/>
    <mergeCell ref="N2:N3"/>
    <mergeCell ref="G2:G3"/>
    <mergeCell ref="H2:H3"/>
    <mergeCell ref="Q2:Q3"/>
    <mergeCell ref="O2:O3"/>
    <mergeCell ref="I2:I3"/>
    <mergeCell ref="J2:J3"/>
    <mergeCell ref="L2:L3"/>
    <mergeCell ref="W2:W3"/>
    <mergeCell ref="P2:P3"/>
    <mergeCell ref="T2:T3"/>
    <mergeCell ref="AA2:AA4"/>
    <mergeCell ref="X2:X3"/>
    <mergeCell ref="Y2:Y4"/>
    <mergeCell ref="V2:V3"/>
    <mergeCell ref="R2:R3"/>
  </mergeCells>
  <printOptions horizontalCentered="1"/>
  <pageMargins left="0" right="0" top="1.3779527559055118" bottom="0.5905511811023623" header="0.1968503937007874" footer="0"/>
  <pageSetup blackAndWhite="1" firstPageNumber="10" useFirstPageNumber="1" fitToHeight="6" horizontalDpi="600" verticalDpi="600" orientation="landscape" paperSize="9" scale="50" r:id="rId1"/>
  <headerFooter alignWithMargins="0">
    <oddFooter>&amp;C&amp;P</oddFooter>
  </headerFooter>
  <rowBreaks count="1" manualBreakCount="1">
    <brk id="222"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_test_company_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_test_user_</dc:creator>
  <cp:keywords/>
  <dc:description/>
  <cp:lastModifiedBy>Olga</cp:lastModifiedBy>
  <cp:lastPrinted>2020-12-06T09:45:26Z</cp:lastPrinted>
  <dcterms:created xsi:type="dcterms:W3CDTF">2001-06-07T13:56:50Z</dcterms:created>
  <dcterms:modified xsi:type="dcterms:W3CDTF">2020-12-07T07:14:39Z</dcterms:modified>
  <cp:category/>
  <cp:version/>
  <cp:contentType/>
  <cp:contentStatus/>
</cp:coreProperties>
</file>